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Multi separation method\Real matrix tests\Concrete tests\Alpha data\CBkg\"/>
    </mc:Choice>
  </mc:AlternateContent>
  <bookViews>
    <workbookView xWindow="-120" yWindow="-120" windowWidth="29040" windowHeight="15840" activeTab="3"/>
  </bookViews>
  <sheets>
    <sheet name="C9D gamma data" sheetId="2" r:id="rId1"/>
    <sheet name="Sr-90 cherenkov" sheetId="5" r:id="rId2"/>
    <sheet name="C9HP" sheetId="3" r:id="rId3"/>
    <sheet name="Alpha data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1" i="4" l="1"/>
  <c r="K50" i="4"/>
  <c r="H47" i="4" l="1"/>
  <c r="AD12" i="5" l="1"/>
  <c r="AC12" i="5"/>
  <c r="C9" i="5" l="1"/>
  <c r="E9" i="5" s="1"/>
  <c r="G9" i="5" s="1"/>
  <c r="C10" i="5"/>
  <c r="E10" i="5" s="1"/>
  <c r="G10" i="5" s="1"/>
  <c r="C11" i="5"/>
  <c r="E11" i="5" s="1"/>
  <c r="G11" i="5" s="1"/>
  <c r="C12" i="5"/>
  <c r="C13" i="5"/>
  <c r="E13" i="5" s="1"/>
  <c r="G13" i="5" s="1"/>
  <c r="E12" i="5"/>
  <c r="G12" i="5" s="1"/>
  <c r="H10" i="5"/>
  <c r="H11" i="5"/>
  <c r="I11" i="5" s="1"/>
  <c r="K11" i="5" s="1"/>
  <c r="H12" i="5"/>
  <c r="I12" i="5" s="1"/>
  <c r="K12" i="5" s="1"/>
  <c r="H13" i="5"/>
  <c r="I13" i="5" s="1"/>
  <c r="K13" i="5" s="1"/>
  <c r="I10" i="5"/>
  <c r="K10" i="5" s="1"/>
  <c r="H9" i="5"/>
  <c r="I9" i="5" s="1"/>
  <c r="K9" i="5" s="1"/>
  <c r="B79" i="4" l="1"/>
  <c r="N92" i="4" l="1"/>
  <c r="Q92" i="4"/>
  <c r="Q94" i="4" s="1"/>
  <c r="N94" i="4"/>
  <c r="K102" i="4"/>
  <c r="K97" i="4"/>
  <c r="K92" i="4"/>
  <c r="H97" i="4"/>
  <c r="H99" i="4" s="1"/>
  <c r="H92" i="4"/>
  <c r="H94" i="4" s="1"/>
  <c r="U89" i="4"/>
  <c r="U79" i="4"/>
  <c r="Q89" i="4"/>
  <c r="Q83" i="4"/>
  <c r="Q86" i="4" s="1"/>
  <c r="Q79" i="4"/>
  <c r="Q74" i="4"/>
  <c r="Q77" i="4" s="1"/>
  <c r="N89" i="4"/>
  <c r="N83" i="4"/>
  <c r="N86" i="4" s="1"/>
  <c r="N79" i="4"/>
  <c r="N74" i="4"/>
  <c r="N77" i="4" s="1"/>
  <c r="K89" i="4"/>
  <c r="K79" i="4"/>
  <c r="B89" i="4" l="1"/>
  <c r="E42" i="4"/>
  <c r="E62" i="4"/>
  <c r="E56" i="4"/>
  <c r="E50" i="4"/>
  <c r="K40" i="4"/>
  <c r="H40" i="4"/>
  <c r="H83" i="4" s="1"/>
  <c r="E40" i="4"/>
  <c r="B40" i="4"/>
  <c r="B83" i="4" s="1"/>
  <c r="H30" i="4"/>
  <c r="B74" i="4"/>
  <c r="K42" i="4" l="1"/>
  <c r="K83" i="4"/>
  <c r="K74" i="4"/>
  <c r="B42" i="4"/>
  <c r="B86" i="4" s="1"/>
  <c r="H42" i="4"/>
  <c r="H86" i="4" s="1"/>
  <c r="H32" i="4"/>
  <c r="H74" i="4"/>
  <c r="K104" i="4"/>
  <c r="U102" i="4" s="1"/>
  <c r="K99" i="4"/>
  <c r="K86" i="4" l="1"/>
  <c r="U86" i="4" s="1"/>
  <c r="K77" i="4"/>
  <c r="U77" i="4" s="1"/>
  <c r="B77" i="4"/>
  <c r="B35" i="4"/>
  <c r="H77" i="4"/>
  <c r="K94" i="4" l="1"/>
  <c r="U94" i="4" s="1"/>
  <c r="N80" i="4"/>
  <c r="K80" i="4"/>
  <c r="Q80" i="4"/>
  <c r="B80" i="4"/>
  <c r="N87" i="4" l="1"/>
  <c r="Q87" i="4"/>
  <c r="Q90" i="4" s="1"/>
  <c r="K87" i="4"/>
  <c r="K90" i="4" s="1"/>
  <c r="B87" i="4"/>
  <c r="B90" i="4" s="1"/>
  <c r="U80" i="4"/>
  <c r="L17" i="4"/>
  <c r="N90" i="4" l="1"/>
  <c r="Z2" i="4"/>
  <c r="X2" i="4"/>
  <c r="W2" i="4"/>
  <c r="U2" i="4"/>
  <c r="Y2" i="4" s="1"/>
  <c r="U87" i="4" l="1"/>
  <c r="U90" i="4" s="1"/>
  <c r="AA2" i="4"/>
  <c r="H3" i="4"/>
  <c r="H4" i="4"/>
  <c r="H5" i="4"/>
  <c r="G3" i="4"/>
  <c r="G4" i="4"/>
  <c r="G5" i="4"/>
  <c r="E3" i="4"/>
  <c r="E4" i="4"/>
  <c r="E5" i="4"/>
  <c r="H2" i="4"/>
  <c r="I2" i="4"/>
  <c r="M2" i="4"/>
  <c r="G2" i="4"/>
  <c r="E2" i="4"/>
  <c r="I4" i="4" l="1"/>
  <c r="N2" i="4"/>
  <c r="I5" i="4"/>
  <c r="I3" i="4"/>
  <c r="M5" i="4"/>
  <c r="N5" i="4" s="1"/>
  <c r="H3" i="2" l="1"/>
  <c r="O26" i="5"/>
  <c r="K26" i="5"/>
  <c r="I26" i="5"/>
  <c r="O24" i="5"/>
  <c r="K24" i="5"/>
  <c r="I24" i="5"/>
  <c r="H8" i="5"/>
  <c r="I8" i="5" s="1"/>
  <c r="C8" i="5"/>
  <c r="E8" i="5" s="1"/>
  <c r="G8" i="5" s="1"/>
  <c r="H7" i="5"/>
  <c r="I7" i="5" s="1"/>
  <c r="K7" i="5" s="1"/>
  <c r="C7" i="5"/>
  <c r="E7" i="5" s="1"/>
  <c r="G7" i="5" s="1"/>
  <c r="H6" i="5"/>
  <c r="I6" i="5" s="1"/>
  <c r="C6" i="5"/>
  <c r="E6" i="5" s="1"/>
  <c r="G6" i="5" s="1"/>
  <c r="H5" i="5"/>
  <c r="I5" i="5" s="1"/>
  <c r="K5" i="5" s="1"/>
  <c r="C5" i="5"/>
  <c r="E5" i="5" s="1"/>
  <c r="G5" i="5" s="1"/>
  <c r="H4" i="5"/>
  <c r="I4" i="5" s="1"/>
  <c r="C4" i="5"/>
  <c r="E4" i="5" s="1"/>
  <c r="G4" i="5" s="1"/>
  <c r="H3" i="5"/>
  <c r="I3" i="5" s="1"/>
  <c r="K3" i="5" s="1"/>
  <c r="C3" i="5"/>
  <c r="E3" i="5" s="1"/>
  <c r="G3" i="5" s="1"/>
  <c r="H2" i="5"/>
  <c r="I2" i="5" s="1"/>
  <c r="K2" i="5" s="1"/>
  <c r="K4" i="5" l="1"/>
  <c r="K6" i="5"/>
  <c r="K8" i="5"/>
  <c r="L26" i="5"/>
  <c r="M26" i="5" s="1"/>
  <c r="Y26" i="5" s="1"/>
  <c r="AA24" i="5" s="1"/>
  <c r="L24" i="5"/>
  <c r="M24" i="5" s="1"/>
  <c r="Y24" i="5" s="1"/>
  <c r="R24" i="5"/>
  <c r="T24" i="5" s="1"/>
  <c r="U24" i="5" s="1"/>
  <c r="R26" i="5"/>
  <c r="T26" i="5" s="1"/>
  <c r="U26" i="5" s="1"/>
  <c r="Z26" i="5" l="1"/>
  <c r="AB24" i="5" s="1"/>
  <c r="AC24" i="5"/>
  <c r="AE24" i="5" s="1"/>
  <c r="Z24" i="5"/>
  <c r="AG24" i="5"/>
  <c r="AD24" i="5" l="1"/>
  <c r="AF24" i="5" s="1"/>
  <c r="AH24" i="5" s="1"/>
  <c r="G30" i="5" s="1"/>
  <c r="D30" i="5"/>
  <c r="M3" i="4"/>
  <c r="Q3" i="4" l="1"/>
  <c r="R3" i="4" s="1"/>
  <c r="F18" i="4"/>
  <c r="Z3" i="4"/>
  <c r="AB3" i="4" l="1"/>
  <c r="Z5" i="4"/>
  <c r="Z4" i="4"/>
  <c r="M4" i="4"/>
  <c r="N4" i="4" s="1"/>
  <c r="F2" i="3" l="1"/>
  <c r="D16" i="2" l="1"/>
  <c r="D15" i="2"/>
  <c r="D14" i="2"/>
  <c r="D13" i="2"/>
  <c r="D12" i="2"/>
  <c r="D11" i="2"/>
  <c r="D10" i="2"/>
  <c r="D9" i="2"/>
  <c r="D6" i="2"/>
  <c r="D3" i="2"/>
  <c r="J3" i="2" s="1"/>
  <c r="J4" i="2" l="1"/>
  <c r="L3" i="2"/>
  <c r="L4" i="2" s="1"/>
  <c r="D2" i="3"/>
  <c r="AD3" i="4" l="1"/>
  <c r="AF3" i="4" s="1"/>
  <c r="O5" i="4" l="1"/>
  <c r="O2" i="4"/>
  <c r="P2" i="4"/>
  <c r="O4" i="4"/>
  <c r="P4" i="4"/>
  <c r="AD5" i="4"/>
  <c r="H89" i="4"/>
  <c r="AD2" i="4"/>
  <c r="L16" i="4" s="1"/>
  <c r="AE2" i="4"/>
  <c r="AD4" i="4"/>
  <c r="P5" i="4" l="1"/>
  <c r="H79" i="4"/>
  <c r="H80" i="4" s="1"/>
  <c r="H87" i="4" s="1"/>
  <c r="H90" i="4" s="1"/>
  <c r="Q2" i="4"/>
  <c r="F17" i="4"/>
  <c r="Q4" i="4"/>
  <c r="F19" i="4"/>
  <c r="Q5" i="4"/>
  <c r="F20" i="4"/>
  <c r="AB4" i="4" l="1"/>
  <c r="AF4" i="4" s="1"/>
  <c r="R4" i="4"/>
  <c r="AB5" i="4"/>
  <c r="AF5" i="4" s="1"/>
  <c r="R5" i="4"/>
  <c r="R2" i="4"/>
  <c r="AB2" i="4"/>
  <c r="AF2" i="4" l="1"/>
  <c r="AC2" i="4"/>
  <c r="AI2" i="4" l="1"/>
  <c r="AG2" i="4"/>
  <c r="AK2" i="4" s="1"/>
</calcChain>
</file>

<file path=xl/sharedStrings.xml><?xml version="1.0" encoding="utf-8"?>
<sst xmlns="http://schemas.openxmlformats.org/spreadsheetml/2006/main" count="327" uniqueCount="203">
  <si>
    <t>Vial label</t>
  </si>
  <si>
    <t>Mass of sample</t>
  </si>
  <si>
    <t>Radiotracers &amp; Target radionuclides</t>
  </si>
  <si>
    <t>Strontium</t>
  </si>
  <si>
    <t>Database no.</t>
  </si>
  <si>
    <t>Sr-85 Tracer</t>
  </si>
  <si>
    <t>RAM 1591</t>
  </si>
  <si>
    <t xml:space="preserve">Pb </t>
  </si>
  <si>
    <t>Pb-210 contaminant</t>
  </si>
  <si>
    <t>RAM 324</t>
  </si>
  <si>
    <t>Mixed Gamma source</t>
  </si>
  <si>
    <t>RAM 1297</t>
  </si>
  <si>
    <t>Am-241</t>
  </si>
  <si>
    <t>Cd-109</t>
  </si>
  <si>
    <t>Co-57</t>
  </si>
  <si>
    <t>Ce-139</t>
  </si>
  <si>
    <t>Sn-113</t>
  </si>
  <si>
    <t>Cs-137</t>
  </si>
  <si>
    <t>Mn-54</t>
  </si>
  <si>
    <t>Co-60</t>
  </si>
  <si>
    <t>Activity measured in gamma</t>
  </si>
  <si>
    <t xml:space="preserve">Empty mass </t>
  </si>
  <si>
    <t>Mass with sample</t>
  </si>
  <si>
    <t>Height corrected</t>
  </si>
  <si>
    <t>Correction factor =</t>
  </si>
  <si>
    <t>Mass with NaNO2</t>
  </si>
  <si>
    <t>Total mass</t>
  </si>
  <si>
    <t>Name of fraction</t>
  </si>
  <si>
    <t>Time counted</t>
  </si>
  <si>
    <t>Tracer measured counts</t>
  </si>
  <si>
    <t>Tracer Bkgd counts</t>
  </si>
  <si>
    <t>Counting efficiency (%)</t>
  </si>
  <si>
    <t xml:space="preserve">Activity of tracer measured </t>
  </si>
  <si>
    <t>Activity added</t>
  </si>
  <si>
    <t>Target counts</t>
  </si>
  <si>
    <t>Target bkgd counts</t>
  </si>
  <si>
    <t>Activity of target measured</t>
  </si>
  <si>
    <t>Target activity corrected by tracer recovery</t>
  </si>
  <si>
    <t>Activity of target added</t>
  </si>
  <si>
    <t>overall recovery</t>
  </si>
  <si>
    <t>C6HP</t>
  </si>
  <si>
    <t>Date</t>
  </si>
  <si>
    <t>Counts per min</t>
  </si>
  <si>
    <t>Activity (bq)</t>
  </si>
  <si>
    <t>Counter efficiency corrected</t>
  </si>
  <si>
    <t>Quench corrected</t>
  </si>
  <si>
    <t>s</t>
  </si>
  <si>
    <t>Sr 85 recovery</t>
  </si>
  <si>
    <t>σ</t>
  </si>
  <si>
    <t>QT1 factor</t>
  </si>
  <si>
    <t>Label</t>
  </si>
  <si>
    <t>CPM1</t>
  </si>
  <si>
    <t>Counts1</t>
  </si>
  <si>
    <t>CPM1 %</t>
  </si>
  <si>
    <t>Total counts</t>
  </si>
  <si>
    <t>Live time (mins)</t>
  </si>
  <si>
    <t>CPM</t>
  </si>
  <si>
    <t>Bq</t>
  </si>
  <si>
    <t>σtotal counts</t>
  </si>
  <si>
    <t>σCPM</t>
  </si>
  <si>
    <t>σBq</t>
  </si>
  <si>
    <t xml:space="preserve">Quantalus </t>
  </si>
  <si>
    <t>Count efficiency</t>
  </si>
  <si>
    <t>σ efficiency</t>
  </si>
  <si>
    <t>Efficiency corr activity (bq)</t>
  </si>
  <si>
    <t>σ efficiency corr activity</t>
  </si>
  <si>
    <t>Blk activity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</si>
  <si>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activity</t>
    </r>
  </si>
  <si>
    <t>Blk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</si>
  <si>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corrected</t>
    </r>
  </si>
  <si>
    <t>QT1 corrected</t>
  </si>
  <si>
    <r>
      <rPr>
        <sz val="11"/>
        <color theme="1"/>
        <rFont val="Calibri"/>
        <family val="2"/>
        <scheme val="minor"/>
      </rPr>
      <t>σ</t>
    </r>
    <r>
      <rPr>
        <sz val="9.9"/>
        <color theme="1"/>
        <rFont val="Calibri"/>
        <family val="2"/>
        <scheme val="minor"/>
      </rPr>
      <t xml:space="preserve"> QT1 corrected</t>
    </r>
  </si>
  <si>
    <t>Sr-85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</si>
  <si>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Sr 85 corrected</t>
    </r>
  </si>
  <si>
    <t>Blk</t>
  </si>
  <si>
    <t>Fully corrected activity =</t>
  </si>
  <si>
    <t xml:space="preserve">+/- </t>
  </si>
  <si>
    <t>Radiotracers &amp; Target radionuclides post sep</t>
  </si>
  <si>
    <t>Uncertainty (bq)</t>
  </si>
  <si>
    <t xml:space="preserve">Recovery </t>
  </si>
  <si>
    <t xml:space="preserve">Uncertainty </t>
  </si>
  <si>
    <t>+/-</t>
  </si>
  <si>
    <t>Height of sample measured (mm) =</t>
  </si>
  <si>
    <t>σcounts1</t>
  </si>
  <si>
    <t>Detector number</t>
  </si>
  <si>
    <t>C9 Pu</t>
  </si>
  <si>
    <t>C9 Np</t>
  </si>
  <si>
    <t>C9 U</t>
  </si>
  <si>
    <t>C9 Th</t>
  </si>
  <si>
    <t>σ counts</t>
  </si>
  <si>
    <t>σ bkgd counts</t>
  </si>
  <si>
    <t>σ counting eff</t>
  </si>
  <si>
    <t>σ activity added</t>
  </si>
  <si>
    <t>σ corrected counts</t>
  </si>
  <si>
    <t>corrected counts</t>
  </si>
  <si>
    <t>σ time counted</t>
  </si>
  <si>
    <t>σ activity measured</t>
  </si>
  <si>
    <t xml:space="preserve">σ Recovery </t>
  </si>
  <si>
    <t xml:space="preserve">σ tcounts </t>
  </si>
  <si>
    <t>σ t bkgd counts</t>
  </si>
  <si>
    <t>target corrected counts</t>
  </si>
  <si>
    <t>σ t corrected counts</t>
  </si>
  <si>
    <t>σ activity of target</t>
  </si>
  <si>
    <t>σ tracer corrected activity</t>
  </si>
  <si>
    <t>σ overall recovery</t>
  </si>
  <si>
    <t>σ activity of target added</t>
  </si>
  <si>
    <t>overall recovery (%)</t>
  </si>
  <si>
    <r>
      <t>2</t>
    </r>
    <r>
      <rPr>
        <sz val="11"/>
        <color theme="1"/>
        <rFont val="Calibri"/>
        <family val="2"/>
      </rPr>
      <t>σ</t>
    </r>
  </si>
  <si>
    <t>disposal to drain</t>
  </si>
  <si>
    <t>Pu 239</t>
  </si>
  <si>
    <t>Pu 242</t>
  </si>
  <si>
    <t>Np 237</t>
  </si>
  <si>
    <t>U236</t>
  </si>
  <si>
    <t>Th 229</t>
  </si>
  <si>
    <t>Pu fraction</t>
  </si>
  <si>
    <t>Np fraction</t>
  </si>
  <si>
    <t>Th fraction</t>
  </si>
  <si>
    <t>Detector #</t>
  </si>
  <si>
    <t xml:space="preserve">Time counted </t>
  </si>
  <si>
    <t>Counter efficiency</t>
  </si>
  <si>
    <t>Pu-242 tracer counts</t>
  </si>
  <si>
    <t>Th-229 tracer counts</t>
  </si>
  <si>
    <t>U-236 tracer counts</t>
  </si>
  <si>
    <t>Pu-242 measured</t>
  </si>
  <si>
    <t>Th-229 measured</t>
  </si>
  <si>
    <t>U-236 measured</t>
  </si>
  <si>
    <t>Tracer activity added</t>
  </si>
  <si>
    <t>Pu-239 target counts</t>
  </si>
  <si>
    <t>Np-237 target counts</t>
  </si>
  <si>
    <t>Th-232 target counts</t>
  </si>
  <si>
    <t>U-238 target counts</t>
  </si>
  <si>
    <t>Activity of Pu-239 measured</t>
  </si>
  <si>
    <t>Activity of Np-237 measured</t>
  </si>
  <si>
    <t>Activity of Th-232 measured</t>
  </si>
  <si>
    <t>Activity of U-238 measured</t>
  </si>
  <si>
    <t>Target Pu-239 tracer corrected</t>
  </si>
  <si>
    <t>Target Th-232 tracer corrected</t>
  </si>
  <si>
    <t>Target U-238 tracer corrected</t>
  </si>
  <si>
    <t>Overall recovery</t>
  </si>
  <si>
    <t>U-236 counts</t>
  </si>
  <si>
    <t xml:space="preserve">U-236 bkgd counts </t>
  </si>
  <si>
    <t>U-236 activity</t>
  </si>
  <si>
    <t>U-238 counts</t>
  </si>
  <si>
    <t>U-238 bkgd counts</t>
  </si>
  <si>
    <t>U-238 activity</t>
  </si>
  <si>
    <t>Pu-239 counts</t>
  </si>
  <si>
    <t>Pu-239 bkgd counts</t>
  </si>
  <si>
    <t>Pu-239 activity</t>
  </si>
  <si>
    <t>UF1 fraction</t>
  </si>
  <si>
    <t>U-234 counts</t>
  </si>
  <si>
    <t xml:space="preserve">U-234 bkgd counts </t>
  </si>
  <si>
    <t>U-234 activity</t>
  </si>
  <si>
    <t>Total U-234 activity</t>
  </si>
  <si>
    <t>Th-229 counts</t>
  </si>
  <si>
    <t xml:space="preserve">Th-229 bkgd counts </t>
  </si>
  <si>
    <t>Th-229 activity</t>
  </si>
  <si>
    <t>Th-232 counts</t>
  </si>
  <si>
    <t>Th-232 bkgd counts</t>
  </si>
  <si>
    <t>Th-232 activity</t>
  </si>
  <si>
    <t>np</t>
  </si>
  <si>
    <t>Total Th-229 activity</t>
  </si>
  <si>
    <t>Total Th-232 activity</t>
  </si>
  <si>
    <t>Counter efficiency σ</t>
  </si>
  <si>
    <t>Pu-242 measured σ</t>
  </si>
  <si>
    <t>Activity of Pu-239 measured σ</t>
  </si>
  <si>
    <t>Target Pu-239 tracer corrected σ</t>
  </si>
  <si>
    <t>Activity of target added σ</t>
  </si>
  <si>
    <t>Overall recovery σ</t>
  </si>
  <si>
    <t>Time counted σ</t>
  </si>
  <si>
    <t>Th-229 tracer counts σ</t>
  </si>
  <si>
    <t>Th-229 measured σ</t>
  </si>
  <si>
    <t>Tracer activity added σ</t>
  </si>
  <si>
    <t>Activity of Th-232 measured σ</t>
  </si>
  <si>
    <t>Target Th-232 tracer corrected σ</t>
  </si>
  <si>
    <t>U-236 activity σ</t>
  </si>
  <si>
    <t>U-238 activity σ</t>
  </si>
  <si>
    <t>Pu-239 counts σ</t>
  </si>
  <si>
    <t>Pu-239 bkgd counts σ</t>
  </si>
  <si>
    <t>Pu-239 activity σ</t>
  </si>
  <si>
    <t>Corrected counts</t>
  </si>
  <si>
    <t>Pu-242 corrected counts σ</t>
  </si>
  <si>
    <t>Pu-239 corrected counts σ</t>
  </si>
  <si>
    <t>Recovery  σ</t>
  </si>
  <si>
    <t>Th-232 corrected counts σ</t>
  </si>
  <si>
    <t>U-236 corrected counts σ</t>
  </si>
  <si>
    <t>U-236 measured σ</t>
  </si>
  <si>
    <t>Recovery σ</t>
  </si>
  <si>
    <t>Activity of U-238 measured σ</t>
  </si>
  <si>
    <t>Target U-238 tracer corrected σ</t>
  </si>
  <si>
    <t>U-238 corrected counts σ</t>
  </si>
  <si>
    <t>Total U-236 activity σ</t>
  </si>
  <si>
    <t>Overall tracer recovery σ</t>
  </si>
  <si>
    <t>Total U-238 activity σ</t>
  </si>
  <si>
    <t>Target activity tracer corrected σ</t>
  </si>
  <si>
    <t>Overall target recovery σ</t>
  </si>
  <si>
    <t>U-236 corrcted counts σ</t>
  </si>
  <si>
    <t>U-234 activity σ</t>
  </si>
  <si>
    <t>Th-229 activity σ</t>
  </si>
  <si>
    <t>Th-232 activity σ</t>
  </si>
  <si>
    <t>U-234 corrected counts σ</t>
  </si>
  <si>
    <t>Th-229 corrected counts σ</t>
  </si>
  <si>
    <t>C9 SrF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</si>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</sst>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9.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 applyAlignment="1"/>
    <xf numFmtId="0" fontId="0" fillId="0" borderId="9" xfId="0" applyBorder="1"/>
    <xf numFmtId="0" fontId="0" fillId="0" borderId="0" xfId="0" applyBorder="1"/>
    <xf numFmtId="0" fontId="0" fillId="0" borderId="1" xfId="0" applyBorder="1" applyAlignment="1"/>
    <xf numFmtId="0" fontId="0" fillId="0" borderId="10" xfId="0" applyBorder="1"/>
    <xf numFmtId="14" fontId="0" fillId="0" borderId="1" xfId="0" applyNumberFormat="1" applyBorder="1"/>
    <xf numFmtId="0" fontId="1" fillId="0" borderId="0" xfId="0" applyFont="1"/>
    <xf numFmtId="0" fontId="0" fillId="0" borderId="11" xfId="0" applyBorder="1"/>
    <xf numFmtId="0" fontId="0" fillId="0" borderId="12" xfId="0" applyBorder="1"/>
    <xf numFmtId="0" fontId="1" fillId="0" borderId="12" xfId="0" applyFont="1" applyBorder="1"/>
    <xf numFmtId="0" fontId="0" fillId="0" borderId="13" xfId="0" applyBorder="1"/>
    <xf numFmtId="0" fontId="1" fillId="0" borderId="8" xfId="0" applyFont="1" applyFill="1" applyBorder="1"/>
    <xf numFmtId="0" fontId="0" fillId="0" borderId="0" xfId="0" applyFont="1" applyFill="1" applyBorder="1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0" fontId="5" fillId="2" borderId="1" xfId="1" applyFont="1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cherenkov'!$A$3:$A$13</c:f>
              <c:numCache>
                <c:formatCode>m/d/yyyy</c:formatCode>
                <c:ptCount val="11"/>
                <c:pt idx="0">
                  <c:v>44323</c:v>
                </c:pt>
                <c:pt idx="1">
                  <c:v>44326</c:v>
                </c:pt>
                <c:pt idx="2">
                  <c:v>44328</c:v>
                </c:pt>
                <c:pt idx="3">
                  <c:v>44331</c:v>
                </c:pt>
                <c:pt idx="4">
                  <c:v>44333</c:v>
                </c:pt>
                <c:pt idx="5">
                  <c:v>44335</c:v>
                </c:pt>
                <c:pt idx="6">
                  <c:v>44336</c:v>
                </c:pt>
                <c:pt idx="7">
                  <c:v>44337</c:v>
                </c:pt>
                <c:pt idx="8">
                  <c:v>44338</c:v>
                </c:pt>
                <c:pt idx="9">
                  <c:v>44338</c:v>
                </c:pt>
                <c:pt idx="10">
                  <c:v>44340</c:v>
                </c:pt>
              </c:numCache>
            </c:numRef>
          </c:xVal>
          <c:yVal>
            <c:numRef>
              <c:f>'Sr-90 cherenkov'!$C$3:$C$13</c:f>
              <c:numCache>
                <c:formatCode>General</c:formatCode>
                <c:ptCount val="11"/>
                <c:pt idx="0">
                  <c:v>2.5178333333333334</c:v>
                </c:pt>
                <c:pt idx="1">
                  <c:v>4.0333333333333332</c:v>
                </c:pt>
                <c:pt idx="2">
                  <c:v>4.5388333333333328</c:v>
                </c:pt>
                <c:pt idx="3">
                  <c:v>4.8245000000000005</c:v>
                </c:pt>
                <c:pt idx="4">
                  <c:v>5.0888333333333327</c:v>
                </c:pt>
                <c:pt idx="5">
                  <c:v>5.2288333333333332</c:v>
                </c:pt>
                <c:pt idx="6">
                  <c:v>5.1905000000000001</c:v>
                </c:pt>
                <c:pt idx="7">
                  <c:v>5.2051666666666669</c:v>
                </c:pt>
                <c:pt idx="8">
                  <c:v>5.2013333333333334</c:v>
                </c:pt>
                <c:pt idx="9">
                  <c:v>5.173166666666666</c:v>
                </c:pt>
                <c:pt idx="10">
                  <c:v>5.3108333333333331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3-4D9B-A4B5-9A6D297C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cherenkov'!$K$2:$K$13</c:f>
              <c:numCache>
                <c:formatCode>General</c:formatCode>
                <c:ptCount val="12"/>
                <c:pt idx="0">
                  <c:v>0</c:v>
                </c:pt>
                <c:pt idx="1">
                  <c:v>172800</c:v>
                </c:pt>
                <c:pt idx="2">
                  <c:v>432000</c:v>
                </c:pt>
                <c:pt idx="3">
                  <c:v>604800</c:v>
                </c:pt>
                <c:pt idx="4">
                  <c:v>864000</c:v>
                </c:pt>
                <c:pt idx="5">
                  <c:v>1036800</c:v>
                </c:pt>
                <c:pt idx="6">
                  <c:v>1209600</c:v>
                </c:pt>
                <c:pt idx="7">
                  <c:v>1296000</c:v>
                </c:pt>
                <c:pt idx="8">
                  <c:v>1382400</c:v>
                </c:pt>
                <c:pt idx="9">
                  <c:v>1468800</c:v>
                </c:pt>
                <c:pt idx="10">
                  <c:v>1468800</c:v>
                </c:pt>
                <c:pt idx="11">
                  <c:v>1641600</c:v>
                </c:pt>
              </c:numCache>
            </c:numRef>
          </c:xVal>
          <c:yVal>
            <c:numRef>
              <c:f>'Sr-90 cherenkov'!$C$2:$C$13</c:f>
              <c:numCache>
                <c:formatCode>General</c:formatCode>
                <c:ptCount val="12"/>
                <c:pt idx="0">
                  <c:v>0</c:v>
                </c:pt>
                <c:pt idx="1">
                  <c:v>2.5178333333333334</c:v>
                </c:pt>
                <c:pt idx="2">
                  <c:v>4.0333333333333332</c:v>
                </c:pt>
                <c:pt idx="3">
                  <c:v>4.5388333333333328</c:v>
                </c:pt>
                <c:pt idx="4">
                  <c:v>4.8245000000000005</c:v>
                </c:pt>
                <c:pt idx="5">
                  <c:v>5.0888333333333327</c:v>
                </c:pt>
                <c:pt idx="6">
                  <c:v>5.2288333333333332</c:v>
                </c:pt>
                <c:pt idx="7">
                  <c:v>5.1905000000000001</c:v>
                </c:pt>
                <c:pt idx="8">
                  <c:v>5.2051666666666669</c:v>
                </c:pt>
                <c:pt idx="9">
                  <c:v>5.2013333333333334</c:v>
                </c:pt>
                <c:pt idx="10">
                  <c:v>5.173166666666666</c:v>
                </c:pt>
                <c:pt idx="11">
                  <c:v>5.3108333333333331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A-49D3-813D-826EC5DC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464606</xdr:colOff>
      <xdr:row>0</xdr:row>
      <xdr:rowOff>177800</xdr:rowOff>
    </xdr:from>
    <xdr:to>
      <xdr:col>25</xdr:col>
      <xdr:colOff>877358</xdr:colOff>
      <xdr:row>17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275165</xdr:colOff>
      <xdr:row>1</xdr:row>
      <xdr:rowOff>127000</xdr:rowOff>
    </xdr:from>
    <xdr:to>
      <xdr:col>20</xdr:col>
      <xdr:colOff>232833</xdr:colOff>
      <xdr:row>17</xdr:row>
      <xdr:rowOff>69850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zoomScaleNormal="100" workbookViewId="0">
      <selection activeCell="G4" sqref="G4"/>
    </sheetView>
  </sheetViews>
  <sheetFormatPr defaultRowHeight="15" x14ac:dyDescent="0.25"/>
  <cols>
    <col min="1" max="1" width="20.28515625" bestFit="1" customWidth="1"/>
    <col min="2" max="2" width="23.140625" bestFit="1" customWidth="1"/>
    <col min="3" max="3" width="27.28515625" bestFit="1" customWidth="1"/>
    <col min="4" max="4" width="15.85546875" bestFit="1" customWidth="1"/>
    <col min="5" max="5" width="27.28515625" bestFit="1" customWidth="1"/>
    <col min="7" max="7" width="11.85546875" bestFit="1" customWidth="1"/>
    <col min="8" max="8" width="15.85546875" bestFit="1" customWidth="1"/>
    <col min="9" max="9" width="15.5703125" bestFit="1" customWidth="1"/>
    <col min="10" max="10" width="12" bestFit="1" customWidth="1"/>
  </cols>
  <sheetData>
    <row r="1" spans="1:12" x14ac:dyDescent="0.25">
      <c r="A1" s="26" t="s">
        <v>2</v>
      </c>
      <c r="B1" s="27"/>
      <c r="C1" s="27"/>
      <c r="D1" s="12"/>
      <c r="E1" s="9"/>
      <c r="G1" s="28" t="s">
        <v>77</v>
      </c>
      <c r="H1" s="28"/>
      <c r="I1" s="28"/>
      <c r="J1" s="28"/>
    </row>
    <row r="2" spans="1:12" x14ac:dyDescent="0.25">
      <c r="A2" s="1" t="s">
        <v>3</v>
      </c>
      <c r="B2" s="1" t="s">
        <v>4</v>
      </c>
      <c r="C2" s="3" t="s">
        <v>20</v>
      </c>
      <c r="D2" s="1" t="s">
        <v>23</v>
      </c>
      <c r="E2" s="11"/>
      <c r="G2" s="1" t="s">
        <v>43</v>
      </c>
      <c r="H2" s="1" t="s">
        <v>23</v>
      </c>
      <c r="I2" s="1" t="s">
        <v>78</v>
      </c>
      <c r="J2" s="1" t="s">
        <v>79</v>
      </c>
      <c r="L2" t="s">
        <v>80</v>
      </c>
    </row>
    <row r="3" spans="1:12" x14ac:dyDescent="0.25">
      <c r="A3" s="2" t="s">
        <v>5</v>
      </c>
      <c r="B3" s="2" t="s">
        <v>6</v>
      </c>
      <c r="C3" s="7">
        <v>10</v>
      </c>
      <c r="D3" s="1">
        <f>C3*F$9</f>
        <v>10.199999999999999</v>
      </c>
      <c r="E3" s="11"/>
      <c r="G3" s="1">
        <v>8.43</v>
      </c>
      <c r="H3" s="1">
        <f>G3*1.02</f>
        <v>8.5985999999999994</v>
      </c>
      <c r="I3" s="1">
        <v>0.56000000000000005</v>
      </c>
      <c r="J3" s="1">
        <f>H3/D3</f>
        <v>0.84299999999999997</v>
      </c>
      <c r="K3" s="24" t="s">
        <v>81</v>
      </c>
      <c r="L3">
        <f>J3*(SQRT(((I3/H3)^2)+((E3/D3)^2)))</f>
        <v>5.4901960784313732E-2</v>
      </c>
    </row>
    <row r="4" spans="1:12" x14ac:dyDescent="0.25">
      <c r="A4" s="1"/>
      <c r="B4" s="1"/>
      <c r="C4" s="1"/>
      <c r="D4" s="13"/>
      <c r="E4" s="11"/>
      <c r="J4">
        <f>J3*100</f>
        <v>84.3</v>
      </c>
      <c r="K4" s="24" t="s">
        <v>81</v>
      </c>
      <c r="L4">
        <f>L3*100</f>
        <v>5.4901960784313735</v>
      </c>
    </row>
    <row r="5" spans="1:12" x14ac:dyDescent="0.25">
      <c r="A5" s="5" t="s">
        <v>7</v>
      </c>
      <c r="B5" s="5"/>
      <c r="C5" s="10"/>
      <c r="D5" s="1"/>
      <c r="E5" s="11"/>
    </row>
    <row r="6" spans="1:12" x14ac:dyDescent="0.25">
      <c r="A6" s="2" t="s">
        <v>8</v>
      </c>
      <c r="B6" s="2" t="s">
        <v>9</v>
      </c>
      <c r="C6" s="7">
        <v>3.61</v>
      </c>
      <c r="D6" s="1">
        <f>C6*F$9</f>
        <v>3.6821999999999999</v>
      </c>
      <c r="E6" s="11"/>
    </row>
    <row r="7" spans="1:12" x14ac:dyDescent="0.25">
      <c r="A7" s="3"/>
      <c r="B7" s="4"/>
      <c r="C7" s="4"/>
      <c r="D7" s="13"/>
      <c r="E7" s="11" t="s">
        <v>82</v>
      </c>
      <c r="F7">
        <v>44</v>
      </c>
    </row>
    <row r="8" spans="1:12" x14ac:dyDescent="0.25">
      <c r="A8" s="6" t="s">
        <v>10</v>
      </c>
      <c r="B8" s="6" t="s">
        <v>11</v>
      </c>
      <c r="C8" s="8"/>
      <c r="D8" s="1"/>
      <c r="E8" s="11"/>
    </row>
    <row r="9" spans="1:12" x14ac:dyDescent="0.25">
      <c r="A9" s="6" t="s">
        <v>12</v>
      </c>
      <c r="B9" s="6"/>
      <c r="C9" s="8">
        <v>4.8899999999999997</v>
      </c>
      <c r="D9" s="1">
        <f>C9*F$9</f>
        <v>4.9878</v>
      </c>
      <c r="E9" s="11" t="s">
        <v>24</v>
      </c>
      <c r="F9">
        <v>1.02</v>
      </c>
    </row>
    <row r="10" spans="1:12" x14ac:dyDescent="0.25">
      <c r="A10" s="6" t="s">
        <v>13</v>
      </c>
      <c r="B10" s="6"/>
      <c r="C10" s="8">
        <v>2.02</v>
      </c>
      <c r="D10" s="1">
        <f t="shared" ref="D10:D16" si="0">C10*F$9</f>
        <v>2.0604</v>
      </c>
      <c r="E10" s="11"/>
    </row>
    <row r="11" spans="1:12" x14ac:dyDescent="0.25">
      <c r="A11" s="6" t="s">
        <v>14</v>
      </c>
      <c r="B11" s="6"/>
      <c r="C11" s="8">
        <v>4.3999999999999997E-2</v>
      </c>
      <c r="D11" s="1">
        <f t="shared" si="0"/>
        <v>4.4879999999999996E-2</v>
      </c>
      <c r="E11" s="11"/>
    </row>
    <row r="12" spans="1:12" x14ac:dyDescent="0.25">
      <c r="A12" s="6" t="s">
        <v>15</v>
      </c>
      <c r="B12" s="6"/>
      <c r="C12" s="8">
        <v>0</v>
      </c>
      <c r="D12" s="1">
        <f t="shared" si="0"/>
        <v>0</v>
      </c>
      <c r="E12" s="11"/>
    </row>
    <row r="13" spans="1:12" x14ac:dyDescent="0.25">
      <c r="A13" s="6" t="s">
        <v>16</v>
      </c>
      <c r="B13" s="6"/>
      <c r="C13" s="8">
        <v>0</v>
      </c>
      <c r="D13" s="1">
        <f t="shared" si="0"/>
        <v>0</v>
      </c>
      <c r="E13" s="11"/>
    </row>
    <row r="14" spans="1:12" x14ac:dyDescent="0.25">
      <c r="A14" s="6" t="s">
        <v>17</v>
      </c>
      <c r="B14" s="6"/>
      <c r="C14" s="8">
        <v>4.67</v>
      </c>
      <c r="D14" s="1">
        <f t="shared" si="0"/>
        <v>4.7633999999999999</v>
      </c>
      <c r="E14" s="11"/>
    </row>
    <row r="15" spans="1:12" x14ac:dyDescent="0.25">
      <c r="A15" s="6" t="s">
        <v>18</v>
      </c>
      <c r="B15" s="6"/>
      <c r="C15" s="8">
        <v>8.1000000000000003E-2</v>
      </c>
      <c r="D15" s="1">
        <f t="shared" si="0"/>
        <v>8.2619999999999999E-2</v>
      </c>
      <c r="E15" s="11"/>
    </row>
    <row r="16" spans="1:12" x14ac:dyDescent="0.25">
      <c r="A16" s="5" t="s">
        <v>19</v>
      </c>
      <c r="B16" s="5"/>
      <c r="C16" s="10">
        <v>2.92</v>
      </c>
      <c r="D16" s="1">
        <f t="shared" si="0"/>
        <v>2.9784000000000002</v>
      </c>
      <c r="E16" s="11"/>
    </row>
  </sheetData>
  <mergeCells count="2">
    <mergeCell ref="A1:C1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0"/>
  <sheetViews>
    <sheetView zoomScale="90" zoomScaleNormal="90" workbookViewId="0">
      <selection activeCell="AD13" sqref="AD13"/>
    </sheetView>
  </sheetViews>
  <sheetFormatPr defaultRowHeight="15" x14ac:dyDescent="0.25"/>
  <cols>
    <col min="1" max="1" width="12" bestFit="1" customWidth="1"/>
    <col min="2" max="2" width="14.5703125" bestFit="1" customWidth="1"/>
    <col min="3" max="3" width="11.85546875" bestFit="1" customWidth="1"/>
    <col min="4" max="4" width="9.7109375" bestFit="1" customWidth="1"/>
    <col min="5" max="5" width="26.7109375" bestFit="1" customWidth="1"/>
    <col min="7" max="7" width="19.42578125" bestFit="1" customWidth="1"/>
    <col min="9" max="9" width="11.7109375" bestFit="1" customWidth="1"/>
    <col min="11" max="11" width="17.28515625" bestFit="1" customWidth="1"/>
    <col min="18" max="18" width="12.5703125" bestFit="1" customWidth="1"/>
    <col min="23" max="23" width="15.5703125" bestFit="1" customWidth="1"/>
    <col min="24" max="24" width="11.28515625" bestFit="1" customWidth="1"/>
    <col min="25" max="25" width="24.85546875" bestFit="1" customWidth="1"/>
    <col min="26" max="26" width="22.42578125" bestFit="1" customWidth="1"/>
    <col min="27" max="27" width="12.28515625" bestFit="1" customWidth="1"/>
    <col min="28" max="28" width="13.28515625" bestFit="1" customWidth="1"/>
    <col min="29" max="29" width="14.85546875" bestFit="1" customWidth="1"/>
    <col min="30" max="30" width="13.85546875" bestFit="1" customWidth="1"/>
    <col min="31" max="31" width="16.85546875" bestFit="1" customWidth="1"/>
    <col min="32" max="32" width="14.28515625" bestFit="1" customWidth="1"/>
    <col min="33" max="33" width="17" bestFit="1" customWidth="1"/>
    <col min="34" max="34" width="15.28515625" bestFit="1" customWidth="1"/>
  </cols>
  <sheetData>
    <row r="1" spans="1:30" x14ac:dyDescent="0.25">
      <c r="A1" s="1" t="s">
        <v>41</v>
      </c>
      <c r="B1" s="1" t="s">
        <v>42</v>
      </c>
      <c r="C1" s="1" t="s">
        <v>43</v>
      </c>
      <c r="D1" s="1"/>
      <c r="E1" s="1" t="s">
        <v>44</v>
      </c>
      <c r="F1" s="1"/>
      <c r="G1" s="1" t="s">
        <v>45</v>
      </c>
      <c r="I1" t="s">
        <v>46</v>
      </c>
    </row>
    <row r="2" spans="1:30" x14ac:dyDescent="0.25">
      <c r="A2" s="14">
        <v>44321</v>
      </c>
      <c r="B2" s="1"/>
      <c r="C2" s="1">
        <v>0</v>
      </c>
      <c r="D2" s="1"/>
      <c r="E2" s="1"/>
      <c r="F2" s="1"/>
      <c r="G2" s="1"/>
      <c r="H2">
        <f t="shared" ref="H2:H13" si="0">A2-A$3</f>
        <v>-2</v>
      </c>
      <c r="I2">
        <f t="shared" ref="I2:I13" si="1">H2*24*60*60</f>
        <v>-172800</v>
      </c>
      <c r="K2">
        <f>I2+-I$2</f>
        <v>0</v>
      </c>
    </row>
    <row r="3" spans="1:30" x14ac:dyDescent="0.25">
      <c r="A3" s="14">
        <v>44323</v>
      </c>
      <c r="B3" s="1">
        <v>151.07</v>
      </c>
      <c r="C3" s="1">
        <f t="shared" ref="C3:C13" si="2">B3/60</f>
        <v>2.5178333333333334</v>
      </c>
      <c r="D3" s="1"/>
      <c r="E3" s="1">
        <f t="shared" ref="E3:E13" si="3">C3/0.729</f>
        <v>3.4538180155464109</v>
      </c>
      <c r="F3" s="1"/>
      <c r="G3" s="1">
        <f t="shared" ref="G3:G13" si="4">E3/0.9</f>
        <v>3.8375755728293455</v>
      </c>
      <c r="H3">
        <f t="shared" si="0"/>
        <v>0</v>
      </c>
      <c r="I3">
        <f t="shared" si="1"/>
        <v>0</v>
      </c>
      <c r="K3">
        <f t="shared" ref="K3:K13" si="5">I3+-I$2</f>
        <v>172800</v>
      </c>
    </row>
    <row r="4" spans="1:30" x14ac:dyDescent="0.25">
      <c r="A4" s="14">
        <v>44326</v>
      </c>
      <c r="B4" s="1">
        <v>242</v>
      </c>
      <c r="C4" s="1">
        <f t="shared" si="2"/>
        <v>4.0333333333333332</v>
      </c>
      <c r="D4" s="1"/>
      <c r="E4" s="1">
        <f t="shared" si="3"/>
        <v>5.5326931870141749</v>
      </c>
      <c r="F4" s="1"/>
      <c r="G4" s="1">
        <f t="shared" si="4"/>
        <v>6.1474368744601939</v>
      </c>
      <c r="H4">
        <f t="shared" si="0"/>
        <v>3</v>
      </c>
      <c r="I4">
        <f t="shared" si="1"/>
        <v>259200</v>
      </c>
      <c r="K4">
        <f t="shared" si="5"/>
        <v>432000</v>
      </c>
    </row>
    <row r="5" spans="1:30" x14ac:dyDescent="0.25">
      <c r="A5" s="14">
        <v>44328</v>
      </c>
      <c r="B5" s="1">
        <v>272.33</v>
      </c>
      <c r="C5" s="1">
        <f t="shared" si="2"/>
        <v>4.5388333333333328</v>
      </c>
      <c r="D5" s="1"/>
      <c r="E5" s="1">
        <f t="shared" si="3"/>
        <v>6.2261088248742569</v>
      </c>
      <c r="F5" s="1"/>
      <c r="G5" s="1">
        <f t="shared" si="4"/>
        <v>6.9178986943047294</v>
      </c>
      <c r="H5">
        <f t="shared" si="0"/>
        <v>5</v>
      </c>
      <c r="I5">
        <f t="shared" si="1"/>
        <v>432000</v>
      </c>
      <c r="K5">
        <f t="shared" si="5"/>
        <v>604800</v>
      </c>
    </row>
    <row r="6" spans="1:30" x14ac:dyDescent="0.25">
      <c r="A6" s="14">
        <v>44331</v>
      </c>
      <c r="B6" s="1">
        <v>289.47000000000003</v>
      </c>
      <c r="C6" s="1">
        <f t="shared" si="2"/>
        <v>4.8245000000000005</v>
      </c>
      <c r="D6" s="1"/>
      <c r="E6" s="1">
        <f t="shared" si="3"/>
        <v>6.6179698216735261</v>
      </c>
      <c r="F6" s="1"/>
      <c r="G6" s="1">
        <f t="shared" si="4"/>
        <v>7.3532998018594729</v>
      </c>
      <c r="H6">
        <f t="shared" si="0"/>
        <v>8</v>
      </c>
      <c r="I6">
        <f t="shared" si="1"/>
        <v>691200</v>
      </c>
      <c r="K6">
        <f t="shared" si="5"/>
        <v>864000</v>
      </c>
    </row>
    <row r="7" spans="1:30" x14ac:dyDescent="0.25">
      <c r="A7" s="14">
        <v>44333</v>
      </c>
      <c r="B7" s="1">
        <v>305.33</v>
      </c>
      <c r="C7" s="1">
        <f t="shared" si="2"/>
        <v>5.0888333333333327</v>
      </c>
      <c r="D7" s="1"/>
      <c r="E7" s="1">
        <f t="shared" si="3"/>
        <v>6.9805669867398255</v>
      </c>
      <c r="F7" s="1"/>
      <c r="G7" s="1">
        <f t="shared" si="4"/>
        <v>7.7561855408220284</v>
      </c>
      <c r="H7">
        <f t="shared" si="0"/>
        <v>10</v>
      </c>
      <c r="I7">
        <f t="shared" si="1"/>
        <v>864000</v>
      </c>
      <c r="K7">
        <f t="shared" si="5"/>
        <v>1036800</v>
      </c>
    </row>
    <row r="8" spans="1:30" x14ac:dyDescent="0.25">
      <c r="A8" s="14">
        <v>44335</v>
      </c>
      <c r="B8" s="1">
        <v>313.73</v>
      </c>
      <c r="C8" s="1">
        <f t="shared" si="2"/>
        <v>5.2288333333333332</v>
      </c>
      <c r="D8" s="1"/>
      <c r="E8" s="1">
        <f t="shared" si="3"/>
        <v>7.172610882487426</v>
      </c>
      <c r="F8" s="1"/>
      <c r="G8" s="1">
        <f t="shared" si="4"/>
        <v>7.9695676472082511</v>
      </c>
      <c r="H8">
        <f t="shared" si="0"/>
        <v>12</v>
      </c>
      <c r="I8">
        <f t="shared" si="1"/>
        <v>1036800</v>
      </c>
      <c r="K8">
        <f t="shared" si="5"/>
        <v>1209600</v>
      </c>
    </row>
    <row r="9" spans="1:30" x14ac:dyDescent="0.25">
      <c r="A9" s="14">
        <v>44336</v>
      </c>
      <c r="B9" s="1">
        <v>311.43</v>
      </c>
      <c r="C9" s="1">
        <f t="shared" si="2"/>
        <v>5.1905000000000001</v>
      </c>
      <c r="D9" s="1"/>
      <c r="E9" s="1">
        <f t="shared" si="3"/>
        <v>7.1200274348422496</v>
      </c>
      <c r="F9" s="1"/>
      <c r="G9" s="1">
        <f t="shared" si="4"/>
        <v>7.9111415942691661</v>
      </c>
      <c r="H9">
        <f t="shared" si="0"/>
        <v>13</v>
      </c>
      <c r="I9">
        <f t="shared" si="1"/>
        <v>1123200</v>
      </c>
      <c r="K9">
        <f t="shared" si="5"/>
        <v>1296000</v>
      </c>
    </row>
    <row r="10" spans="1:30" x14ac:dyDescent="0.25">
      <c r="A10" s="14">
        <v>44337</v>
      </c>
      <c r="B10" s="1">
        <v>312.31</v>
      </c>
      <c r="C10" s="1">
        <f t="shared" si="2"/>
        <v>5.2051666666666669</v>
      </c>
      <c r="D10" s="1"/>
      <c r="E10" s="1">
        <f t="shared" si="3"/>
        <v>7.1401463191586654</v>
      </c>
      <c r="F10" s="1"/>
      <c r="G10" s="1">
        <f t="shared" si="4"/>
        <v>7.933495910176295</v>
      </c>
      <c r="H10">
        <f t="shared" si="0"/>
        <v>14</v>
      </c>
      <c r="I10">
        <f t="shared" si="1"/>
        <v>1209600</v>
      </c>
      <c r="K10">
        <f t="shared" si="5"/>
        <v>1382400</v>
      </c>
    </row>
    <row r="11" spans="1:30" x14ac:dyDescent="0.25">
      <c r="A11" s="14">
        <v>44338</v>
      </c>
      <c r="B11" s="1">
        <v>312.08</v>
      </c>
      <c r="C11" s="1">
        <f t="shared" si="2"/>
        <v>5.2013333333333334</v>
      </c>
      <c r="D11" s="1"/>
      <c r="E11" s="1">
        <f t="shared" si="3"/>
        <v>7.1348879743941476</v>
      </c>
      <c r="F11" s="1"/>
      <c r="G11" s="1">
        <f t="shared" si="4"/>
        <v>7.9276533048823863</v>
      </c>
      <c r="H11">
        <f t="shared" si="0"/>
        <v>15</v>
      </c>
      <c r="I11">
        <f t="shared" si="1"/>
        <v>1296000</v>
      </c>
      <c r="K11">
        <f t="shared" si="5"/>
        <v>1468800</v>
      </c>
      <c r="AC11" t="s">
        <v>47</v>
      </c>
      <c r="AD11" s="15" t="s">
        <v>48</v>
      </c>
    </row>
    <row r="12" spans="1:30" x14ac:dyDescent="0.25">
      <c r="A12" s="14">
        <v>44338</v>
      </c>
      <c r="B12" s="1">
        <v>310.39</v>
      </c>
      <c r="C12" s="1">
        <f t="shared" si="2"/>
        <v>5.173166666666666</v>
      </c>
      <c r="D12" s="1"/>
      <c r="E12" s="1">
        <f t="shared" si="3"/>
        <v>7.0962505715592128</v>
      </c>
      <c r="F12" s="1"/>
      <c r="G12" s="1">
        <f t="shared" si="4"/>
        <v>7.8847228572880139</v>
      </c>
      <c r="H12">
        <f t="shared" si="0"/>
        <v>15</v>
      </c>
      <c r="I12">
        <f t="shared" si="1"/>
        <v>1296000</v>
      </c>
      <c r="K12">
        <f t="shared" si="5"/>
        <v>1468800</v>
      </c>
      <c r="AC12">
        <f>'C9D gamma data'!J3</f>
        <v>0.84299999999999997</v>
      </c>
      <c r="AD12">
        <f>'C9D gamma data'!L3</f>
        <v>5.4901960784313732E-2</v>
      </c>
    </row>
    <row r="13" spans="1:30" x14ac:dyDescent="0.25">
      <c r="A13" s="14">
        <v>44340</v>
      </c>
      <c r="B13" s="1">
        <v>318.64999999999998</v>
      </c>
      <c r="C13" s="1">
        <f t="shared" si="2"/>
        <v>5.3108333333333331</v>
      </c>
      <c r="D13" s="1"/>
      <c r="E13" s="1">
        <f t="shared" si="3"/>
        <v>7.2850937357110199</v>
      </c>
      <c r="F13" s="1"/>
      <c r="G13" s="1">
        <f t="shared" si="4"/>
        <v>8.0945485952344658</v>
      </c>
      <c r="H13">
        <f t="shared" si="0"/>
        <v>17</v>
      </c>
      <c r="I13">
        <f t="shared" si="1"/>
        <v>1468800</v>
      </c>
      <c r="K13">
        <f t="shared" si="5"/>
        <v>1641600</v>
      </c>
    </row>
    <row r="14" spans="1:30" x14ac:dyDescent="0.25">
      <c r="AC14" t="s">
        <v>49</v>
      </c>
      <c r="AD14" s="15" t="s">
        <v>48</v>
      </c>
    </row>
    <row r="15" spans="1:30" x14ac:dyDescent="0.25">
      <c r="AC15">
        <v>0.88693192384909358</v>
      </c>
      <c r="AD15">
        <v>1.2925251147853921E-2</v>
      </c>
    </row>
    <row r="22" spans="1:34" ht="15.75" thickBot="1" x14ac:dyDescent="0.3"/>
    <row r="23" spans="1:34" ht="15.75" thickBot="1" x14ac:dyDescent="0.3">
      <c r="A23" s="16" t="s">
        <v>50</v>
      </c>
      <c r="B23" s="17" t="s">
        <v>41</v>
      </c>
      <c r="C23" s="17" t="s">
        <v>51</v>
      </c>
      <c r="D23" s="17" t="s">
        <v>52</v>
      </c>
      <c r="E23" s="17" t="s">
        <v>53</v>
      </c>
      <c r="F23" s="17"/>
      <c r="G23" s="17"/>
      <c r="H23" s="17"/>
      <c r="I23" s="17" t="s">
        <v>54</v>
      </c>
      <c r="J23" s="17"/>
      <c r="K23" s="17" t="s">
        <v>55</v>
      </c>
      <c r="L23" s="17" t="s">
        <v>56</v>
      </c>
      <c r="M23" s="17" t="s">
        <v>57</v>
      </c>
      <c r="N23" s="17"/>
      <c r="O23" s="18" t="s">
        <v>83</v>
      </c>
      <c r="P23" s="18"/>
      <c r="Q23" s="17"/>
      <c r="R23" s="18" t="s">
        <v>58</v>
      </c>
      <c r="S23" s="17"/>
      <c r="T23" s="18" t="s">
        <v>59</v>
      </c>
      <c r="U23" s="18" t="s">
        <v>60</v>
      </c>
      <c r="V23" s="17" t="s">
        <v>61</v>
      </c>
      <c r="W23" s="17" t="s">
        <v>62</v>
      </c>
      <c r="X23" s="18" t="s">
        <v>63</v>
      </c>
      <c r="Y23" s="17" t="s">
        <v>64</v>
      </c>
      <c r="Z23" s="18" t="s">
        <v>65</v>
      </c>
      <c r="AA23" s="17" t="s">
        <v>66</v>
      </c>
      <c r="AB23" s="18" t="s">
        <v>67</v>
      </c>
      <c r="AC23" s="19" t="s">
        <v>68</v>
      </c>
      <c r="AD23" s="20" t="s">
        <v>69</v>
      </c>
      <c r="AE23" s="21" t="s">
        <v>70</v>
      </c>
      <c r="AF23" s="21" t="s">
        <v>71</v>
      </c>
      <c r="AG23" t="s">
        <v>72</v>
      </c>
      <c r="AH23" s="15" t="s">
        <v>73</v>
      </c>
    </row>
    <row r="24" spans="1:34" x14ac:dyDescent="0.25">
      <c r="A24" t="s">
        <v>201</v>
      </c>
      <c r="B24" s="22">
        <v>44340</v>
      </c>
      <c r="C24">
        <v>318.64999999999998</v>
      </c>
      <c r="D24">
        <v>9445</v>
      </c>
      <c r="E24">
        <v>1.03</v>
      </c>
      <c r="I24">
        <f>D24+G24</f>
        <v>9445</v>
      </c>
      <c r="K24">
        <f>D24/C24</f>
        <v>29.640671583241804</v>
      </c>
      <c r="L24">
        <f>I24/K24</f>
        <v>318.64999999999998</v>
      </c>
      <c r="M24">
        <f>L24/60</f>
        <v>5.3108333333333331</v>
      </c>
      <c r="O24">
        <f>D24*(E24/100)</f>
        <v>97.283500000000004</v>
      </c>
      <c r="R24">
        <f>SQRT((O24^2)+(P24^2))</f>
        <v>97.283500000000004</v>
      </c>
      <c r="T24">
        <f>R24/K24</f>
        <v>3.282095</v>
      </c>
      <c r="U24">
        <f>T24/60</f>
        <v>5.4701583333333331E-2</v>
      </c>
      <c r="V24">
        <v>3</v>
      </c>
      <c r="W24">
        <v>72.87</v>
      </c>
      <c r="X24">
        <v>2.38</v>
      </c>
      <c r="Y24">
        <f>M24/(W24/100)</f>
        <v>7.2880929509171581</v>
      </c>
      <c r="Z24">
        <f>Y24*(SQRT(((U24/M24)^2)+((X24/W24)^2)))</f>
        <v>0.24959186901829203</v>
      </c>
      <c r="AA24">
        <f>Y26</f>
        <v>2.3100498604821371E-2</v>
      </c>
      <c r="AB24">
        <f>Z26</f>
        <v>4.28509545454354E-3</v>
      </c>
      <c r="AC24">
        <f>Y24-AA24</f>
        <v>7.2649924523123364</v>
      </c>
      <c r="AD24">
        <f>SQRT((Z24^2)+(AB24^2))</f>
        <v>0.2496286504452139</v>
      </c>
      <c r="AE24">
        <f>AC24/0.8781</f>
        <v>8.2735365588342287</v>
      </c>
      <c r="AF24">
        <f>AE24*(SQRT(((AD24/AC24)^2)+((AD15/AC15)^2)))</f>
        <v>0.30879415196151017</v>
      </c>
      <c r="AG24">
        <f>AE24/AC12</f>
        <v>9.8143968669445183</v>
      </c>
      <c r="AH24">
        <f>AG24*(SQRT(((AF24/AE24)^2)+((AD12/AC12)^2)))</f>
        <v>0.73670274943699454</v>
      </c>
    </row>
    <row r="26" spans="1:34" x14ac:dyDescent="0.25">
      <c r="A26" t="s">
        <v>74</v>
      </c>
      <c r="B26" s="22">
        <v>44340</v>
      </c>
      <c r="C26">
        <v>1.01</v>
      </c>
      <c r="D26">
        <v>30</v>
      </c>
      <c r="E26">
        <v>18.260000000000002</v>
      </c>
      <c r="I26">
        <f>D26+G26</f>
        <v>30</v>
      </c>
      <c r="K26" s="23">
        <f>D26/C26</f>
        <v>29.702970297029704</v>
      </c>
      <c r="L26" s="23">
        <f>I26/K26</f>
        <v>1.01</v>
      </c>
      <c r="M26" s="23">
        <f>L26/60</f>
        <v>1.6833333333333332E-2</v>
      </c>
      <c r="O26">
        <f>D26*(E26/100)</f>
        <v>5.4780000000000006</v>
      </c>
      <c r="R26">
        <f>SQRT((O26^2)+(P26^2))</f>
        <v>5.4780000000000006</v>
      </c>
      <c r="T26">
        <f>R26/K26</f>
        <v>0.18442600000000001</v>
      </c>
      <c r="U26">
        <f>T26/60</f>
        <v>3.0737666666666667E-3</v>
      </c>
      <c r="V26">
        <v>3</v>
      </c>
      <c r="W26">
        <v>72.87</v>
      </c>
      <c r="X26">
        <v>2.38</v>
      </c>
      <c r="Y26">
        <f>M26/(W26/100)</f>
        <v>2.3100498604821371E-2</v>
      </c>
      <c r="Z26">
        <f>Y26*(SQRT(((U26/M26)^2)+((X26/W26)^2)))</f>
        <v>4.28509545454354E-3</v>
      </c>
    </row>
    <row r="30" spans="1:34" x14ac:dyDescent="0.25">
      <c r="B30" s="29" t="s">
        <v>75</v>
      </c>
      <c r="C30" s="29"/>
      <c r="D30">
        <f>AG24</f>
        <v>9.8143968669445183</v>
      </c>
      <c r="F30" s="24" t="s">
        <v>76</v>
      </c>
      <c r="G30">
        <f>AH24</f>
        <v>0.73670274943699454</v>
      </c>
    </row>
  </sheetData>
  <mergeCells count="1">
    <mergeCell ref="B30:C3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A3" sqref="A3"/>
    </sheetView>
  </sheetViews>
  <sheetFormatPr defaultRowHeight="15" x14ac:dyDescent="0.25"/>
  <cols>
    <col min="1" max="1" width="9.28515625" bestFit="1" customWidth="1"/>
    <col min="2" max="2" width="11.85546875" bestFit="1" customWidth="1"/>
    <col min="3" max="3" width="16.85546875" bestFit="1" customWidth="1"/>
    <col min="4" max="4" width="14.7109375" bestFit="1" customWidth="1"/>
    <col min="5" max="5" width="16.7109375" bestFit="1" customWidth="1"/>
    <col min="6" max="6" width="10.28515625" bestFit="1" customWidth="1"/>
  </cols>
  <sheetData>
    <row r="1" spans="1:6" x14ac:dyDescent="0.25">
      <c r="A1" t="s">
        <v>0</v>
      </c>
      <c r="B1" t="s">
        <v>21</v>
      </c>
      <c r="C1" t="s">
        <v>22</v>
      </c>
      <c r="D1" t="s">
        <v>1</v>
      </c>
      <c r="E1" t="s">
        <v>25</v>
      </c>
      <c r="F1" t="s">
        <v>26</v>
      </c>
    </row>
    <row r="2" spans="1:6" x14ac:dyDescent="0.25">
      <c r="A2" t="s">
        <v>40</v>
      </c>
      <c r="B2">
        <v>13.3992</v>
      </c>
      <c r="C2">
        <v>23.7974</v>
      </c>
      <c r="D2">
        <f>C2-B2</f>
        <v>10.398199999999999</v>
      </c>
      <c r="E2">
        <v>24.3796</v>
      </c>
      <c r="F2">
        <f>E2-B2</f>
        <v>10.980399999999999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5"/>
  <sheetViews>
    <sheetView tabSelected="1" zoomScale="70" zoomScaleNormal="70" workbookViewId="0">
      <selection activeCell="L40" sqref="L40"/>
    </sheetView>
  </sheetViews>
  <sheetFormatPr defaultRowHeight="15" x14ac:dyDescent="0.25"/>
  <cols>
    <col min="1" max="1" width="34.42578125" bestFit="1" customWidth="1"/>
    <col min="2" max="2" width="14.5703125" bestFit="1" customWidth="1"/>
    <col min="3" max="3" width="18.140625" bestFit="1" customWidth="1"/>
    <col min="4" max="4" width="30.140625" bestFit="1" customWidth="1"/>
    <col min="5" max="5" width="13" bestFit="1" customWidth="1"/>
    <col min="6" max="6" width="19.5703125" bestFit="1" customWidth="1"/>
    <col min="7" max="7" width="34.140625" bestFit="1" customWidth="1"/>
    <col min="8" max="8" width="17.28515625" bestFit="1" customWidth="1"/>
    <col min="9" max="9" width="19.140625" bestFit="1" customWidth="1"/>
    <col min="10" max="10" width="33" bestFit="1" customWidth="1"/>
    <col min="11" max="11" width="23.7109375" bestFit="1" customWidth="1"/>
    <col min="12" max="12" width="23.7109375" customWidth="1"/>
    <col min="13" max="13" width="33" bestFit="1" customWidth="1"/>
    <col min="14" max="14" width="20.28515625" bestFit="1" customWidth="1"/>
    <col min="15" max="15" width="15" bestFit="1" customWidth="1"/>
    <col min="16" max="16" width="33" bestFit="1" customWidth="1"/>
    <col min="17" max="17" width="13" bestFit="1" customWidth="1"/>
    <col min="18" max="18" width="15.42578125" customWidth="1"/>
    <col min="20" max="20" width="34.140625" bestFit="1" customWidth="1"/>
    <col min="21" max="21" width="14.42578125" customWidth="1"/>
    <col min="22" max="22" width="17.85546875" bestFit="1" customWidth="1"/>
    <col min="23" max="23" width="17.85546875" customWidth="1"/>
    <col min="24" max="24" width="23.85546875" bestFit="1" customWidth="1"/>
    <col min="25" max="25" width="20.28515625" bestFit="1" customWidth="1"/>
    <col min="26" max="26" width="27.85546875" bestFit="1" customWidth="1"/>
    <col min="27" max="27" width="27.85546875" customWidth="1"/>
    <col min="28" max="28" width="42.42578125" bestFit="1" customWidth="1"/>
    <col min="29" max="29" width="42.42578125" customWidth="1"/>
    <col min="30" max="30" width="24.140625" bestFit="1" customWidth="1"/>
    <col min="31" max="31" width="25.7109375" bestFit="1" customWidth="1"/>
    <col min="32" max="32" width="22.140625" bestFit="1" customWidth="1"/>
    <col min="33" max="33" width="18.140625" bestFit="1" customWidth="1"/>
    <col min="35" max="35" width="20.28515625" bestFit="1" customWidth="1"/>
  </cols>
  <sheetData>
    <row r="1" spans="1:37" x14ac:dyDescent="0.25">
      <c r="A1" t="s">
        <v>27</v>
      </c>
      <c r="B1" t="s">
        <v>28</v>
      </c>
      <c r="C1" s="15" t="s">
        <v>95</v>
      </c>
      <c r="D1" t="s">
        <v>29</v>
      </c>
      <c r="E1" s="15" t="s">
        <v>89</v>
      </c>
      <c r="F1" t="s">
        <v>30</v>
      </c>
      <c r="G1" s="15" t="s">
        <v>90</v>
      </c>
      <c r="H1" s="15" t="s">
        <v>94</v>
      </c>
      <c r="I1" s="15" t="s">
        <v>93</v>
      </c>
      <c r="J1" t="s">
        <v>84</v>
      </c>
      <c r="K1" t="s">
        <v>31</v>
      </c>
      <c r="L1" s="15" t="s">
        <v>91</v>
      </c>
      <c r="M1" t="s">
        <v>32</v>
      </c>
      <c r="N1" s="15" t="s">
        <v>96</v>
      </c>
      <c r="O1" t="s">
        <v>33</v>
      </c>
      <c r="P1" s="15" t="s">
        <v>92</v>
      </c>
      <c r="Q1" t="s">
        <v>79</v>
      </c>
      <c r="R1" s="15" t="s">
        <v>97</v>
      </c>
      <c r="T1" t="s">
        <v>34</v>
      </c>
      <c r="U1" s="15" t="s">
        <v>98</v>
      </c>
      <c r="V1" t="s">
        <v>35</v>
      </c>
      <c r="W1" s="15" t="s">
        <v>99</v>
      </c>
      <c r="X1" s="15" t="s">
        <v>100</v>
      </c>
      <c r="Y1" s="15" t="s">
        <v>101</v>
      </c>
      <c r="Z1" t="s">
        <v>36</v>
      </c>
      <c r="AA1" s="15" t="s">
        <v>102</v>
      </c>
      <c r="AB1" t="s">
        <v>37</v>
      </c>
      <c r="AC1" s="15" t="s">
        <v>103</v>
      </c>
      <c r="AD1" t="s">
        <v>38</v>
      </c>
      <c r="AE1" s="15" t="s">
        <v>105</v>
      </c>
      <c r="AF1" t="s">
        <v>39</v>
      </c>
      <c r="AG1" s="15" t="s">
        <v>104</v>
      </c>
      <c r="AI1" t="s">
        <v>106</v>
      </c>
      <c r="AK1" t="s">
        <v>107</v>
      </c>
    </row>
    <row r="2" spans="1:37" x14ac:dyDescent="0.25">
      <c r="A2" t="s">
        <v>85</v>
      </c>
      <c r="B2">
        <v>200000</v>
      </c>
      <c r="C2">
        <v>0.1</v>
      </c>
      <c r="D2">
        <v>4062</v>
      </c>
      <c r="E2">
        <f>SQRT(D2)</f>
        <v>63.733821476512766</v>
      </c>
      <c r="F2">
        <v>2</v>
      </c>
      <c r="G2">
        <f>SQRT(F2)</f>
        <v>1.4142135623730951</v>
      </c>
      <c r="H2">
        <f>D2-F2</f>
        <v>4060</v>
      </c>
      <c r="I2">
        <f>SQRT((E2^2)+(G2^2))</f>
        <v>63.749509802036911</v>
      </c>
      <c r="J2">
        <v>9</v>
      </c>
      <c r="K2">
        <v>37.54</v>
      </c>
      <c r="L2">
        <v>2.2632694242075151</v>
      </c>
      <c r="M2">
        <f>((D2-F2)/B2)/(K2/100)</f>
        <v>5.4075652637186992E-2</v>
      </c>
      <c r="N2">
        <f>M2*(SQRT(((I2/H2)^2)+((L2/K2)^2)+((C2/B2)^2)))</f>
        <v>3.3689509231924286E-3</v>
      </c>
      <c r="O2" t="e">
        <f>#REF!</f>
        <v>#REF!</v>
      </c>
      <c r="P2" t="e">
        <f>#REF!</f>
        <v>#REF!</v>
      </c>
      <c r="Q2" t="e">
        <f>(M2/O2)</f>
        <v>#REF!</v>
      </c>
      <c r="R2" t="e">
        <f>Q2*(SQRT(((P2/O2)^2)+((N2/M2)^2)))</f>
        <v>#REF!</v>
      </c>
      <c r="T2">
        <v>3885</v>
      </c>
      <c r="U2">
        <f>SQRT(T2)</f>
        <v>62.329768168989688</v>
      </c>
      <c r="V2">
        <v>1</v>
      </c>
      <c r="W2">
        <f>SQRT(V2)</f>
        <v>1</v>
      </c>
      <c r="X2">
        <f>T2-V2</f>
        <v>3884</v>
      </c>
      <c r="Y2">
        <f>SQRT((U2^2)+(V2^2))</f>
        <v>62.337789502034802</v>
      </c>
      <c r="Z2">
        <f>((T2-V2)/B2)/(K2/100)</f>
        <v>5.1731486414491205E-2</v>
      </c>
      <c r="AA2">
        <f>Z2*SQRT(((Y2/X2)^2)+((C2/B2)^2)+((L2/K2)^2))</f>
        <v>3.2274925868633667E-3</v>
      </c>
      <c r="AB2" t="e">
        <f>Z2/Q2</f>
        <v>#REF!</v>
      </c>
      <c r="AC2" t="e">
        <f>AB2*(SQRT(((AA2/Z2)^2)+((R2/Q2)^2)))</f>
        <v>#REF!</v>
      </c>
      <c r="AD2" t="e">
        <f>#REF!</f>
        <v>#REF!</v>
      </c>
      <c r="AE2" t="e">
        <f>#REF!</f>
        <v>#REF!</v>
      </c>
      <c r="AF2" t="e">
        <f>AB2/AD2</f>
        <v>#REF!</v>
      </c>
      <c r="AG2" t="e">
        <f>AF2*(SQRT(((AE2/AD2)^2)+((AC2/AB2)^2)))</f>
        <v>#REF!</v>
      </c>
      <c r="AI2" t="e">
        <f>AF2*100</f>
        <v>#REF!</v>
      </c>
      <c r="AJ2" s="24" t="s">
        <v>81</v>
      </c>
      <c r="AK2" t="e">
        <f>AG2*100*2</f>
        <v>#REF!</v>
      </c>
    </row>
    <row r="3" spans="1:37" x14ac:dyDescent="0.25">
      <c r="A3" t="s">
        <v>86</v>
      </c>
      <c r="E3">
        <f t="shared" ref="E3:E5" si="0">SQRT(D3)</f>
        <v>0</v>
      </c>
      <c r="G3">
        <f t="shared" ref="G3:G5" si="1">SQRT(F3)</f>
        <v>0</v>
      </c>
      <c r="H3">
        <f t="shared" ref="H3:H5" si="2">D3-F3</f>
        <v>0</v>
      </c>
      <c r="I3">
        <f t="shared" ref="I3:I4" si="3">SQRT((E3^2)+(G3^2))</f>
        <v>0</v>
      </c>
      <c r="M3" t="e">
        <f>((D4-F3)/B3)/(K3/100)</f>
        <v>#DIV/0!</v>
      </c>
      <c r="Q3" t="e">
        <f t="shared" ref="Q3:Q5" si="4">(M3/O3)</f>
        <v>#DIV/0!</v>
      </c>
      <c r="R3" t="e">
        <f t="shared" ref="R3:R5" si="5">Q3*(SQRT(((P3/O3)^2)+((N3/M3)^2)))</f>
        <v>#DIV/0!</v>
      </c>
      <c r="Z3" t="e">
        <f>((T3-V3)/B3)/(K3/100)</f>
        <v>#DIV/0!</v>
      </c>
      <c r="AB3" t="e">
        <f>Z3/Q3</f>
        <v>#DIV/0!</v>
      </c>
      <c r="AD3" t="e">
        <f>#REF!</f>
        <v>#REF!</v>
      </c>
      <c r="AF3" t="e">
        <f t="shared" ref="AF3:AF5" si="6">AB3/AD3</f>
        <v>#DIV/0!</v>
      </c>
    </row>
    <row r="4" spans="1:37" x14ac:dyDescent="0.25">
      <c r="A4" t="s">
        <v>87</v>
      </c>
      <c r="B4">
        <v>167708</v>
      </c>
      <c r="D4">
        <v>711</v>
      </c>
      <c r="E4">
        <f t="shared" si="0"/>
        <v>26.664583251946766</v>
      </c>
      <c r="F4">
        <v>3</v>
      </c>
      <c r="G4">
        <f t="shared" si="1"/>
        <v>1.7320508075688772</v>
      </c>
      <c r="H4">
        <f t="shared" si="2"/>
        <v>708</v>
      </c>
      <c r="I4">
        <f t="shared" si="3"/>
        <v>26.720778431774775</v>
      </c>
      <c r="J4">
        <v>1</v>
      </c>
      <c r="K4">
        <v>37.82</v>
      </c>
      <c r="M4">
        <f>((D4-F4)/B4)/(K4/100)</f>
        <v>1.1162409565405521E-2</v>
      </c>
      <c r="N4">
        <f>M4*(SQRT(((I4/H4)^2)+((L4/K4)^2)+((C4/B4)^2)))</f>
        <v>4.2128287113266143E-4</v>
      </c>
      <c r="O4" t="e">
        <f>#REF!</f>
        <v>#REF!</v>
      </c>
      <c r="P4" t="e">
        <f>#REF!</f>
        <v>#REF!</v>
      </c>
      <c r="Q4" t="e">
        <f t="shared" si="4"/>
        <v>#REF!</v>
      </c>
      <c r="R4" t="e">
        <f t="shared" si="5"/>
        <v>#REF!</v>
      </c>
      <c r="T4">
        <v>774</v>
      </c>
      <c r="V4">
        <v>1</v>
      </c>
      <c r="Z4">
        <f>((T4-V4)/B4)/(K4/100)</f>
        <v>1.2187207053754898E-2</v>
      </c>
      <c r="AB4" t="e">
        <f>Z4/Q4</f>
        <v>#REF!</v>
      </c>
      <c r="AD4" t="e">
        <f>#REF!</f>
        <v>#REF!</v>
      </c>
      <c r="AF4" t="e">
        <f t="shared" si="6"/>
        <v>#REF!</v>
      </c>
    </row>
    <row r="5" spans="1:37" x14ac:dyDescent="0.25">
      <c r="A5" t="s">
        <v>88</v>
      </c>
      <c r="B5">
        <v>168440.7</v>
      </c>
      <c r="D5">
        <v>1896</v>
      </c>
      <c r="E5">
        <f t="shared" si="0"/>
        <v>43.54308211415448</v>
      </c>
      <c r="G5">
        <f t="shared" si="1"/>
        <v>0</v>
      </c>
      <c r="H5">
        <f t="shared" si="2"/>
        <v>1896</v>
      </c>
      <c r="I5">
        <f>SQRT((E5^2)+(G5^2))</f>
        <v>43.54308211415448</v>
      </c>
      <c r="J5">
        <v>16</v>
      </c>
      <c r="K5">
        <v>35.76</v>
      </c>
      <c r="L5">
        <v>0.84883347138757315</v>
      </c>
      <c r="M5">
        <f>((D5-F5)/B5)/(K5/100)</f>
        <v>3.147703270539004E-2</v>
      </c>
      <c r="N5">
        <f>M5*(SQRT(((I5/H5)^2)+((L5/K5)^2)+((C5/B5)^2)))</f>
        <v>1.0396331365252699E-3</v>
      </c>
      <c r="O5" s="11" t="e">
        <f>#REF!</f>
        <v>#REF!</v>
      </c>
      <c r="P5" t="e">
        <f>#REF!</f>
        <v>#REF!</v>
      </c>
      <c r="Q5" t="e">
        <f t="shared" si="4"/>
        <v>#REF!</v>
      </c>
      <c r="R5" t="e">
        <f t="shared" si="5"/>
        <v>#REF!</v>
      </c>
      <c r="T5">
        <v>2348</v>
      </c>
      <c r="Z5">
        <f>((T5-V5)/B5)/(K5/100)</f>
        <v>3.8981051050767837E-2</v>
      </c>
      <c r="AB5" t="e">
        <f>Z5/Q5</f>
        <v>#REF!</v>
      </c>
      <c r="AD5" t="e">
        <f>#REF!</f>
        <v>#REF!</v>
      </c>
      <c r="AF5" t="e">
        <f t="shared" si="6"/>
        <v>#REF!</v>
      </c>
    </row>
    <row r="16" spans="1:37" x14ac:dyDescent="0.25">
      <c r="J16" t="s">
        <v>108</v>
      </c>
      <c r="K16" t="s">
        <v>109</v>
      </c>
      <c r="L16" t="e">
        <f>AD2-Z2</f>
        <v>#REF!</v>
      </c>
    </row>
    <row r="17" spans="1:12" x14ac:dyDescent="0.25">
      <c r="C17" t="s">
        <v>108</v>
      </c>
      <c r="E17" t="s">
        <v>110</v>
      </c>
      <c r="F17" t="e">
        <f>O2-M2</f>
        <v>#REF!</v>
      </c>
      <c r="K17" t="s">
        <v>111</v>
      </c>
      <c r="L17">
        <f>N3-L3</f>
        <v>0</v>
      </c>
    </row>
    <row r="18" spans="1:12" x14ac:dyDescent="0.25">
      <c r="F18" t="e">
        <f t="shared" ref="F18:F20" si="7">O3-M3</f>
        <v>#DIV/0!</v>
      </c>
    </row>
    <row r="19" spans="1:12" x14ac:dyDescent="0.25">
      <c r="E19" t="s">
        <v>112</v>
      </c>
      <c r="F19" t="e">
        <f t="shared" si="7"/>
        <v>#REF!</v>
      </c>
    </row>
    <row r="20" spans="1:12" x14ac:dyDescent="0.25">
      <c r="E20" t="s">
        <v>113</v>
      </c>
      <c r="F20" t="e">
        <f t="shared" si="7"/>
        <v>#REF!</v>
      </c>
    </row>
    <row r="23" spans="1:12" x14ac:dyDescent="0.25">
      <c r="A23" t="s">
        <v>114</v>
      </c>
      <c r="D23" t="s">
        <v>115</v>
      </c>
      <c r="G23" t="s">
        <v>116</v>
      </c>
      <c r="J23" t="s">
        <v>148</v>
      </c>
    </row>
    <row r="24" spans="1:12" x14ac:dyDescent="0.25">
      <c r="A24" t="s">
        <v>117</v>
      </c>
      <c r="B24">
        <v>9</v>
      </c>
      <c r="D24" t="s">
        <v>117</v>
      </c>
      <c r="G24" t="s">
        <v>117</v>
      </c>
      <c r="H24">
        <v>16</v>
      </c>
      <c r="J24" t="s">
        <v>117</v>
      </c>
      <c r="K24">
        <v>1</v>
      </c>
    </row>
    <row r="25" spans="1:12" x14ac:dyDescent="0.25">
      <c r="A25" t="s">
        <v>118</v>
      </c>
      <c r="B25">
        <v>200000</v>
      </c>
      <c r="D25" t="s">
        <v>118</v>
      </c>
      <c r="G25" t="s">
        <v>118</v>
      </c>
      <c r="H25">
        <v>200000</v>
      </c>
      <c r="J25" t="s">
        <v>118</v>
      </c>
      <c r="K25">
        <v>200000</v>
      </c>
    </row>
    <row r="26" spans="1:12" x14ac:dyDescent="0.25">
      <c r="A26" t="s">
        <v>119</v>
      </c>
      <c r="B26">
        <v>37.54</v>
      </c>
      <c r="D26" t="s">
        <v>119</v>
      </c>
      <c r="G26" t="s">
        <v>119</v>
      </c>
      <c r="H26">
        <v>35.76</v>
      </c>
      <c r="J26" t="s">
        <v>119</v>
      </c>
      <c r="K26">
        <v>37.82</v>
      </c>
    </row>
    <row r="28" spans="1:12" x14ac:dyDescent="0.25">
      <c r="A28" t="s">
        <v>120</v>
      </c>
      <c r="G28" t="s">
        <v>121</v>
      </c>
      <c r="H28">
        <v>11</v>
      </c>
      <c r="J28" t="s">
        <v>122</v>
      </c>
    </row>
    <row r="29" spans="1:12" x14ac:dyDescent="0.25">
      <c r="A29" t="s">
        <v>30</v>
      </c>
      <c r="G29" t="s">
        <v>30</v>
      </c>
      <c r="H29">
        <v>0</v>
      </c>
      <c r="J29" t="s">
        <v>30</v>
      </c>
    </row>
    <row r="30" spans="1:12" x14ac:dyDescent="0.25">
      <c r="A30" t="s">
        <v>179</v>
      </c>
      <c r="G30" t="s">
        <v>179</v>
      </c>
      <c r="H30">
        <f>H28-H29</f>
        <v>11</v>
      </c>
      <c r="J30" t="s">
        <v>179</v>
      </c>
    </row>
    <row r="32" spans="1:12" x14ac:dyDescent="0.25">
      <c r="A32" t="s">
        <v>123</v>
      </c>
      <c r="G32" t="s">
        <v>124</v>
      </c>
      <c r="H32">
        <f>((H30/H25)/(H26/100))</f>
        <v>1.5380313199105146E-4</v>
      </c>
      <c r="J32" t="s">
        <v>125</v>
      </c>
    </row>
    <row r="34" spans="1:11" x14ac:dyDescent="0.25">
      <c r="A34" t="s">
        <v>126</v>
      </c>
      <c r="G34" t="s">
        <v>126</v>
      </c>
      <c r="J34" t="s">
        <v>126</v>
      </c>
    </row>
    <row r="35" spans="1:11" x14ac:dyDescent="0.25">
      <c r="A35" t="s">
        <v>79</v>
      </c>
      <c r="B35" t="e">
        <f>B32/B34</f>
        <v>#DIV/0!</v>
      </c>
      <c r="G35" t="s">
        <v>79</v>
      </c>
      <c r="J35" t="s">
        <v>79</v>
      </c>
    </row>
    <row r="38" spans="1:11" x14ac:dyDescent="0.25">
      <c r="A38" t="s">
        <v>127</v>
      </c>
      <c r="B38">
        <v>25</v>
      </c>
      <c r="D38" t="s">
        <v>128</v>
      </c>
      <c r="G38" t="s">
        <v>129</v>
      </c>
      <c r="H38">
        <v>790</v>
      </c>
      <c r="J38" t="s">
        <v>130</v>
      </c>
      <c r="K38">
        <v>220</v>
      </c>
    </row>
    <row r="39" spans="1:11" x14ac:dyDescent="0.25">
      <c r="A39" t="s">
        <v>35</v>
      </c>
      <c r="B39">
        <v>0</v>
      </c>
      <c r="D39" t="s">
        <v>35</v>
      </c>
      <c r="G39" t="s">
        <v>35</v>
      </c>
      <c r="H39">
        <v>1</v>
      </c>
      <c r="J39" t="s">
        <v>35</v>
      </c>
      <c r="K39">
        <v>1</v>
      </c>
    </row>
    <row r="40" spans="1:11" x14ac:dyDescent="0.25">
      <c r="A40" t="s">
        <v>179</v>
      </c>
      <c r="B40">
        <f>B38-B39</f>
        <v>25</v>
      </c>
      <c r="D40" t="s">
        <v>179</v>
      </c>
      <c r="E40">
        <f>E38-E39</f>
        <v>0</v>
      </c>
      <c r="G40" t="s">
        <v>179</v>
      </c>
      <c r="H40">
        <f>H38-H39</f>
        <v>789</v>
      </c>
      <c r="J40" t="s">
        <v>179</v>
      </c>
      <c r="K40">
        <f>K38-K39</f>
        <v>219</v>
      </c>
    </row>
    <row r="42" spans="1:11" x14ac:dyDescent="0.25">
      <c r="A42" t="s">
        <v>131</v>
      </c>
      <c r="B42">
        <f>(B40/B25)/(B26/100)</f>
        <v>3.3297815663292489E-4</v>
      </c>
      <c r="D42" t="s">
        <v>132</v>
      </c>
      <c r="E42" t="e">
        <f>(E40/E25)/(E26/100)</f>
        <v>#DIV/0!</v>
      </c>
      <c r="G42" t="s">
        <v>133</v>
      </c>
      <c r="H42">
        <f>(H40/H25)/(H26/100)</f>
        <v>1.1031879194630872E-2</v>
      </c>
      <c r="J42" t="s">
        <v>134</v>
      </c>
      <c r="K42">
        <f>(K40/K25)/(K26/100)</f>
        <v>2.8952934955050239E-3</v>
      </c>
    </row>
    <row r="43" spans="1:11" x14ac:dyDescent="0.25">
      <c r="A43" t="s">
        <v>135</v>
      </c>
      <c r="G43" t="s">
        <v>136</v>
      </c>
      <c r="J43" t="s">
        <v>137</v>
      </c>
    </row>
    <row r="45" spans="1:11" x14ac:dyDescent="0.25">
      <c r="A45" t="s">
        <v>38</v>
      </c>
      <c r="D45" t="s">
        <v>38</v>
      </c>
      <c r="J45" t="s">
        <v>38</v>
      </c>
    </row>
    <row r="46" spans="1:11" x14ac:dyDescent="0.25">
      <c r="A46" t="s">
        <v>138</v>
      </c>
      <c r="D46" t="s">
        <v>138</v>
      </c>
      <c r="J46" t="s">
        <v>138</v>
      </c>
    </row>
    <row r="47" spans="1:11" x14ac:dyDescent="0.25">
      <c r="G47" t="s">
        <v>202</v>
      </c>
      <c r="H47">
        <f>H42/H32</f>
        <v>71.72727272727272</v>
      </c>
    </row>
    <row r="48" spans="1:11" x14ac:dyDescent="0.25">
      <c r="D48" t="s">
        <v>139</v>
      </c>
      <c r="J48" t="s">
        <v>149</v>
      </c>
      <c r="K48">
        <v>220</v>
      </c>
    </row>
    <row r="49" spans="4:11" x14ac:dyDescent="0.25">
      <c r="D49" t="s">
        <v>140</v>
      </c>
      <c r="J49" t="s">
        <v>150</v>
      </c>
      <c r="K49">
        <v>0</v>
      </c>
    </row>
    <row r="50" spans="4:11" x14ac:dyDescent="0.25">
      <c r="D50" t="s">
        <v>179</v>
      </c>
      <c r="E50">
        <f>E48-E49</f>
        <v>0</v>
      </c>
      <c r="J50" t="s">
        <v>179</v>
      </c>
      <c r="K50">
        <f>K48-K49</f>
        <v>220</v>
      </c>
    </row>
    <row r="51" spans="4:11" x14ac:dyDescent="0.25">
      <c r="D51" t="s">
        <v>141</v>
      </c>
      <c r="J51" t="s">
        <v>151</v>
      </c>
      <c r="K51">
        <f>(K50/K25)/(K26/100)</f>
        <v>2.9085140137493394E-3</v>
      </c>
    </row>
    <row r="54" spans="4:11" x14ac:dyDescent="0.25">
      <c r="D54" t="s">
        <v>142</v>
      </c>
      <c r="J54" t="s">
        <v>153</v>
      </c>
    </row>
    <row r="55" spans="4:11" x14ac:dyDescent="0.25">
      <c r="D55" t="s">
        <v>143</v>
      </c>
      <c r="J55" t="s">
        <v>154</v>
      </c>
    </row>
    <row r="56" spans="4:11" x14ac:dyDescent="0.25">
      <c r="D56" t="s">
        <v>179</v>
      </c>
      <c r="E56">
        <f>E54-E55</f>
        <v>0</v>
      </c>
      <c r="J56" t="s">
        <v>179</v>
      </c>
    </row>
    <row r="57" spans="4:11" x14ac:dyDescent="0.25">
      <c r="D57" t="s">
        <v>144</v>
      </c>
      <c r="J57" t="s">
        <v>155</v>
      </c>
    </row>
    <row r="60" spans="4:11" x14ac:dyDescent="0.25">
      <c r="D60" t="s">
        <v>145</v>
      </c>
      <c r="J60" t="s">
        <v>156</v>
      </c>
    </row>
    <row r="61" spans="4:11" x14ac:dyDescent="0.25">
      <c r="D61" t="s">
        <v>146</v>
      </c>
      <c r="J61" t="s">
        <v>157</v>
      </c>
    </row>
    <row r="62" spans="4:11" x14ac:dyDescent="0.25">
      <c r="D62" t="s">
        <v>179</v>
      </c>
      <c r="E62">
        <f>E60-E61</f>
        <v>0</v>
      </c>
      <c r="J62" t="s">
        <v>179</v>
      </c>
    </row>
    <row r="63" spans="4:11" x14ac:dyDescent="0.25">
      <c r="D63" t="s">
        <v>147</v>
      </c>
      <c r="J63" t="s">
        <v>158</v>
      </c>
    </row>
    <row r="66" spans="1:21" x14ac:dyDescent="0.25">
      <c r="J66" t="s">
        <v>145</v>
      </c>
    </row>
    <row r="67" spans="1:21" x14ac:dyDescent="0.25">
      <c r="J67" t="s">
        <v>146</v>
      </c>
    </row>
    <row r="68" spans="1:21" x14ac:dyDescent="0.25">
      <c r="J68" t="s">
        <v>179</v>
      </c>
    </row>
    <row r="69" spans="1:21" x14ac:dyDescent="0.25">
      <c r="J69" t="s">
        <v>147</v>
      </c>
    </row>
    <row r="71" spans="1:21" s="25" customFormat="1" x14ac:dyDescent="0.25">
      <c r="A71" s="25" t="s">
        <v>168</v>
      </c>
      <c r="B71" s="25">
        <v>0.1</v>
      </c>
      <c r="D71" s="25" t="s">
        <v>118</v>
      </c>
      <c r="G71" s="25" t="s">
        <v>168</v>
      </c>
      <c r="H71" s="25">
        <v>0.1</v>
      </c>
      <c r="J71" s="25" t="s">
        <v>168</v>
      </c>
      <c r="K71" s="25">
        <v>0.1</v>
      </c>
      <c r="M71" s="25" t="s">
        <v>168</v>
      </c>
      <c r="N71" s="25">
        <v>0.1</v>
      </c>
      <c r="P71" s="25" t="s">
        <v>168</v>
      </c>
      <c r="Q71" s="25">
        <v>0.1</v>
      </c>
    </row>
    <row r="72" spans="1:21" s="25" customFormat="1" x14ac:dyDescent="0.25">
      <c r="A72" s="25" t="s">
        <v>162</v>
      </c>
      <c r="B72" s="25">
        <v>2.2632694242075151</v>
      </c>
      <c r="D72" s="25" t="s">
        <v>119</v>
      </c>
      <c r="G72" s="25" t="s">
        <v>162</v>
      </c>
      <c r="H72" s="25">
        <v>0.84883347138757315</v>
      </c>
      <c r="J72" s="25" t="s">
        <v>162</v>
      </c>
      <c r="K72" s="25">
        <v>2.752964756045384</v>
      </c>
      <c r="M72" s="25" t="s">
        <v>162</v>
      </c>
      <c r="N72" s="25">
        <v>1.3662143495674799</v>
      </c>
      <c r="P72" s="25" t="s">
        <v>162</v>
      </c>
      <c r="Q72" s="25">
        <v>2.752964756045384</v>
      </c>
    </row>
    <row r="73" spans="1:21" s="25" customFormat="1" x14ac:dyDescent="0.25"/>
    <row r="74" spans="1:21" s="25" customFormat="1" x14ac:dyDescent="0.25">
      <c r="A74" s="25" t="s">
        <v>180</v>
      </c>
      <c r="B74" s="25">
        <f>SQRT(B30)</f>
        <v>0</v>
      </c>
      <c r="G74" s="25" t="s">
        <v>169</v>
      </c>
      <c r="H74" s="25">
        <f>SQRT(H30)</f>
        <v>3.3166247903553998</v>
      </c>
      <c r="J74" s="25" t="s">
        <v>184</v>
      </c>
      <c r="K74" s="25">
        <f>SQRT(K30)</f>
        <v>0</v>
      </c>
      <c r="M74" s="25" t="s">
        <v>184</v>
      </c>
      <c r="N74" s="25">
        <f>SQRT(N30)</f>
        <v>0</v>
      </c>
      <c r="P74" s="25" t="s">
        <v>184</v>
      </c>
      <c r="Q74" s="25">
        <f>SQRT(Q30)</f>
        <v>0</v>
      </c>
    </row>
    <row r="75" spans="1:21" s="25" customFormat="1" x14ac:dyDescent="0.25"/>
    <row r="76" spans="1:21" s="25" customFormat="1" x14ac:dyDescent="0.25"/>
    <row r="77" spans="1:21" s="25" customFormat="1" x14ac:dyDescent="0.25">
      <c r="A77" s="25" t="s">
        <v>163</v>
      </c>
      <c r="B77" s="25" t="e">
        <f>B32*SQRT(((B71/B25)^2)+((B72/B26)^2)+((B74/B30)^2))</f>
        <v>#DIV/0!</v>
      </c>
      <c r="G77" s="25" t="s">
        <v>170</v>
      </c>
      <c r="H77" s="25">
        <f>H32*SQRT(((H71/H25)^2)+((H72/H26)^2)+((H74/H30)^2))</f>
        <v>4.6516875326262055E-5</v>
      </c>
      <c r="J77" s="25" t="s">
        <v>185</v>
      </c>
      <c r="K77" s="25" t="e">
        <f>K32*SQRT(((K71/K25)^2)+((K72/K26)^2)+((K74/K30)^2))</f>
        <v>#DIV/0!</v>
      </c>
      <c r="M77" s="25" t="s">
        <v>185</v>
      </c>
      <c r="N77" s="25" t="e">
        <f>N32*SQRT(((N71/N25)^2)+((N72/N26)^2)+((N74/N30)^2))</f>
        <v>#DIV/0!</v>
      </c>
      <c r="P77" s="25" t="s">
        <v>185</v>
      </c>
      <c r="Q77" s="25" t="e">
        <f>Q32*SQRT(((Q71/Q25)^2)+((Q72/Q26)^2)+((Q74/Q30)^2))</f>
        <v>#DIV/0!</v>
      </c>
      <c r="T77" s="25" t="s">
        <v>190</v>
      </c>
      <c r="U77" s="25" t="e">
        <f>SQRT((K77^2)+(N77^2)+(Q77^2))</f>
        <v>#DIV/0!</v>
      </c>
    </row>
    <row r="78" spans="1:21" s="25" customFormat="1" x14ac:dyDescent="0.25"/>
    <row r="79" spans="1:21" s="25" customFormat="1" x14ac:dyDescent="0.25">
      <c r="A79" s="25" t="s">
        <v>171</v>
      </c>
      <c r="B79" s="25" t="e">
        <f>#REF!</f>
        <v>#REF!</v>
      </c>
      <c r="G79" s="25" t="s">
        <v>171</v>
      </c>
      <c r="H79" s="25" t="e">
        <f>#REF!</f>
        <v>#REF!</v>
      </c>
      <c r="J79" s="25" t="s">
        <v>171</v>
      </c>
      <c r="K79" s="25" t="e">
        <f>#REF!</f>
        <v>#REF!</v>
      </c>
      <c r="M79" s="25" t="s">
        <v>171</v>
      </c>
      <c r="N79" s="25" t="e">
        <f>#REF!</f>
        <v>#REF!</v>
      </c>
      <c r="P79" s="25" t="s">
        <v>171</v>
      </c>
      <c r="Q79" s="25" t="e">
        <f>#REF!</f>
        <v>#REF!</v>
      </c>
      <c r="T79" s="25" t="s">
        <v>171</v>
      </c>
      <c r="U79" s="25" t="e">
        <f>#REF!</f>
        <v>#REF!</v>
      </c>
    </row>
    <row r="80" spans="1:21" s="25" customFormat="1" x14ac:dyDescent="0.25">
      <c r="A80" s="25" t="s">
        <v>182</v>
      </c>
      <c r="B80" s="25" t="e">
        <f>B35*SQRT(((B77/B32)^2)+((B79/B34)^2))</f>
        <v>#DIV/0!</v>
      </c>
      <c r="G80" s="25" t="s">
        <v>182</v>
      </c>
      <c r="H80" s="25" t="e">
        <f>H35*SQRT(((H77/H32)^2)+((H79/H34)^2))</f>
        <v>#REF!</v>
      </c>
      <c r="J80" s="25" t="s">
        <v>186</v>
      </c>
      <c r="K80" s="25" t="e">
        <f>K35*SQRT(((K79/K34)^2)+((K77/K32)^2))</f>
        <v>#REF!</v>
      </c>
      <c r="M80" s="25" t="s">
        <v>186</v>
      </c>
      <c r="N80" s="25" t="e">
        <f>N35*SQRT(((N79/N34)^2)+((N77/N32)^2))</f>
        <v>#REF!</v>
      </c>
      <c r="P80" s="25" t="s">
        <v>186</v>
      </c>
      <c r="Q80" s="25" t="e">
        <f>Q35*SQRT(((Q79/Q34)^2)+((Q77/Q32)^2))</f>
        <v>#REF!</v>
      </c>
      <c r="T80" s="25" t="s">
        <v>191</v>
      </c>
      <c r="U80" s="25" t="e">
        <f>U35*SQRT(((U79/U34)^2)+((U77/U32)^2))</f>
        <v>#REF!</v>
      </c>
    </row>
    <row r="81" spans="1:21" s="25" customFormat="1" x14ac:dyDescent="0.25"/>
    <row r="82" spans="1:21" s="25" customFormat="1" x14ac:dyDescent="0.25"/>
    <row r="83" spans="1:21" s="25" customFormat="1" x14ac:dyDescent="0.25">
      <c r="A83" s="25" t="s">
        <v>181</v>
      </c>
      <c r="B83" s="25">
        <f>SQRT(B40)</f>
        <v>5</v>
      </c>
      <c r="D83" s="25" t="s">
        <v>128</v>
      </c>
      <c r="G83" s="25" t="s">
        <v>183</v>
      </c>
      <c r="H83" s="25">
        <f>SQRT(H40)</f>
        <v>28.089143810376278</v>
      </c>
      <c r="J83" s="25" t="s">
        <v>189</v>
      </c>
      <c r="K83" s="25">
        <f>SQRT(K40)</f>
        <v>14.798648586948742</v>
      </c>
      <c r="M83" s="25" t="s">
        <v>189</v>
      </c>
      <c r="N83" s="25">
        <f>SQRT(N40)</f>
        <v>0</v>
      </c>
      <c r="P83" s="25" t="s">
        <v>189</v>
      </c>
      <c r="Q83" s="25">
        <f>SQRT(Q40)</f>
        <v>0</v>
      </c>
    </row>
    <row r="84" spans="1:21" s="25" customFormat="1" x14ac:dyDescent="0.25">
      <c r="D84" s="25" t="s">
        <v>35</v>
      </c>
    </row>
    <row r="85" spans="1:21" s="25" customFormat="1" x14ac:dyDescent="0.25"/>
    <row r="86" spans="1:21" s="25" customFormat="1" x14ac:dyDescent="0.25">
      <c r="A86" s="25" t="s">
        <v>164</v>
      </c>
      <c r="B86" s="25">
        <f>B42*SQRT(((B71/B25)^2)+((B72/B26)^2)+((B83/B40)^2))</f>
        <v>6.9555645209618921E-5</v>
      </c>
      <c r="D86" s="25" t="s">
        <v>132</v>
      </c>
      <c r="G86" s="25" t="s">
        <v>172</v>
      </c>
      <c r="H86" s="25">
        <f>H42*SQRT(((H71/H25)^2)+((H72/H26)^2)+((H83/H40)^2))</f>
        <v>4.7203941554365721E-4</v>
      </c>
      <c r="J86" s="25" t="s">
        <v>187</v>
      </c>
      <c r="K86" s="25">
        <f>K42*SQRT(((K83/K40)^2)+((K72/K26)^2)+((K71/K25)^2))</f>
        <v>2.8756510472952132E-4</v>
      </c>
      <c r="M86" s="25" t="s">
        <v>187</v>
      </c>
      <c r="N86" s="25" t="e">
        <f>N42*SQRT(((N83/N40)^2)+((N72/N26)^2)+((N71/N25)^2))</f>
        <v>#DIV/0!</v>
      </c>
      <c r="P86" s="25" t="s">
        <v>187</v>
      </c>
      <c r="Q86" s="25" t="e">
        <f>Q42*SQRT(((Q83/Q40)^2)+((Q72/Q26)^2)+((Q71/Q25)^2))</f>
        <v>#DIV/0!</v>
      </c>
      <c r="T86" s="25" t="s">
        <v>192</v>
      </c>
      <c r="U86" s="25" t="e">
        <f>SQRT((K86^2)+(N86^2)+(Q86^2))</f>
        <v>#DIV/0!</v>
      </c>
    </row>
    <row r="87" spans="1:21" s="25" customFormat="1" x14ac:dyDescent="0.25">
      <c r="A87" s="25" t="s">
        <v>165</v>
      </c>
      <c r="B87" s="25" t="e">
        <f>B43*SQRT(((B80/B35)^2)+((B86/B42)^2))</f>
        <v>#DIV/0!</v>
      </c>
      <c r="G87" s="25" t="s">
        <v>173</v>
      </c>
      <c r="H87" s="25" t="e">
        <f>H43*SQRT(((H80/H35)^2)+((H86/H42)^2))</f>
        <v>#REF!</v>
      </c>
      <c r="J87" s="25" t="s">
        <v>188</v>
      </c>
      <c r="K87" s="25" t="e">
        <f>K43*SQRT(((K86/K42)^2)+((K80/K35)^2))</f>
        <v>#REF!</v>
      </c>
      <c r="M87" s="25" t="s">
        <v>188</v>
      </c>
      <c r="N87" s="25" t="e">
        <f>N43*SQRT(((N86/N42)^2)+((N80/N35)^2))</f>
        <v>#DIV/0!</v>
      </c>
      <c r="P87" s="25" t="s">
        <v>188</v>
      </c>
      <c r="Q87" s="25" t="e">
        <f>Q43*SQRT(((Q86/Q42)^2)+((Q80/Q35)^2))</f>
        <v>#DIV/0!</v>
      </c>
      <c r="T87" s="25" t="s">
        <v>193</v>
      </c>
      <c r="U87" s="25" t="e">
        <f>U43*SQRT(((U86/U42)^2)+((U80/U35)^2))</f>
        <v>#DIV/0!</v>
      </c>
    </row>
    <row r="88" spans="1:21" s="25" customFormat="1" x14ac:dyDescent="0.25"/>
    <row r="89" spans="1:21" s="25" customFormat="1" x14ac:dyDescent="0.25">
      <c r="A89" s="25" t="s">
        <v>166</v>
      </c>
      <c r="B89" s="25" t="e">
        <f>#REF!</f>
        <v>#REF!</v>
      </c>
      <c r="D89" s="25" t="s">
        <v>38</v>
      </c>
      <c r="G89" s="25" t="s">
        <v>166</v>
      </c>
      <c r="H89" s="25" t="e">
        <f>#REF!</f>
        <v>#REF!</v>
      </c>
      <c r="J89" s="25" t="s">
        <v>166</v>
      </c>
      <c r="K89" s="25" t="e">
        <f>#REF!</f>
        <v>#REF!</v>
      </c>
      <c r="M89" s="25" t="s">
        <v>166</v>
      </c>
      <c r="N89" s="25" t="e">
        <f>#REF!</f>
        <v>#REF!</v>
      </c>
      <c r="P89" s="25" t="s">
        <v>166</v>
      </c>
      <c r="Q89" s="25" t="e">
        <f>#REF!</f>
        <v>#REF!</v>
      </c>
      <c r="T89" s="25" t="s">
        <v>166</v>
      </c>
      <c r="U89" s="25" t="e">
        <f>#REF!</f>
        <v>#REF!</v>
      </c>
    </row>
    <row r="90" spans="1:21" s="25" customFormat="1" x14ac:dyDescent="0.25">
      <c r="A90" s="25" t="s">
        <v>167</v>
      </c>
      <c r="B90" s="25" t="e">
        <f>B46*SQRT(((B87/B43)^2)+((B89/B45)^2))</f>
        <v>#DIV/0!</v>
      </c>
      <c r="D90" s="25" t="s">
        <v>138</v>
      </c>
      <c r="G90" s="25" t="s">
        <v>167</v>
      </c>
      <c r="H90" s="25" t="e">
        <f>H46*SQRT(((H87/H43)^2)+((H89/H45)^2))</f>
        <v>#REF!</v>
      </c>
      <c r="J90" s="25" t="s">
        <v>167</v>
      </c>
      <c r="K90" s="25" t="e">
        <f>K46*SQRT(((K89/K45)^2)+((K87/K43)^2))</f>
        <v>#REF!</v>
      </c>
      <c r="M90" s="25" t="s">
        <v>167</v>
      </c>
      <c r="N90" s="25" t="e">
        <f>N46*SQRT(((N89/N45)^2)+((N87/N43)^2))</f>
        <v>#REF!</v>
      </c>
      <c r="P90" s="25" t="s">
        <v>167</v>
      </c>
      <c r="Q90" s="25" t="e">
        <f>Q46*SQRT(((Q89/Q45)^2)+((Q87/Q43)^2))</f>
        <v>#REF!</v>
      </c>
      <c r="T90" s="25" t="s">
        <v>194</v>
      </c>
      <c r="U90" s="25" t="e">
        <f>U46*SQRT(((U89/U45)^2)+((U87/U43)^2))</f>
        <v>#REF!</v>
      </c>
    </row>
    <row r="91" spans="1:21" s="25" customFormat="1" x14ac:dyDescent="0.25"/>
    <row r="92" spans="1:21" s="25" customFormat="1" x14ac:dyDescent="0.25">
      <c r="D92" s="25" t="s">
        <v>139</v>
      </c>
      <c r="G92" s="25" t="s">
        <v>195</v>
      </c>
      <c r="H92" s="25">
        <f>SQRT(H50)</f>
        <v>0</v>
      </c>
      <c r="J92" s="25" t="s">
        <v>199</v>
      </c>
      <c r="K92" s="25">
        <f>SQRT(K50)</f>
        <v>14.832396974191326</v>
      </c>
      <c r="M92" s="25" t="s">
        <v>199</v>
      </c>
      <c r="N92" s="25">
        <f>SQRT(N50)</f>
        <v>0</v>
      </c>
      <c r="P92" s="25" t="s">
        <v>199</v>
      </c>
      <c r="Q92" s="25">
        <f>SQRT(Q50)</f>
        <v>0</v>
      </c>
    </row>
    <row r="93" spans="1:21" s="25" customFormat="1" x14ac:dyDescent="0.25">
      <c r="D93" s="25" t="s">
        <v>140</v>
      </c>
    </row>
    <row r="94" spans="1:21" s="25" customFormat="1" x14ac:dyDescent="0.25">
      <c r="D94" s="25" t="s">
        <v>141</v>
      </c>
      <c r="G94" s="25" t="s">
        <v>174</v>
      </c>
      <c r="H94" s="25" t="e">
        <f>H51*SQRT(((H92/H50)^2)+((H71/H25)^2)+((H72/H26)^2))</f>
        <v>#DIV/0!</v>
      </c>
      <c r="J94" s="25" t="s">
        <v>196</v>
      </c>
      <c r="K94" s="25">
        <f>K51*SQRT(((K92/K50)^2)+((K71/K25)^2)+((K72/K26)^2))</f>
        <v>2.885741273239695E-4</v>
      </c>
      <c r="M94" s="25" t="s">
        <v>196</v>
      </c>
      <c r="N94" s="25" t="e">
        <f>N51*SQRT(((N92/N50)^2)+((N71/N25)^2)+((N72/N26)^2))</f>
        <v>#DIV/0!</v>
      </c>
      <c r="P94" s="25" t="s">
        <v>196</v>
      </c>
      <c r="Q94" s="25" t="e">
        <f>Q51*SQRT(((Q92/Q50)^2)+((Q71/Q25)^2)+((Q72/Q26)^2))</f>
        <v>#DIV/0!</v>
      </c>
      <c r="T94" s="25" t="s">
        <v>152</v>
      </c>
      <c r="U94" s="25" t="e">
        <f>SQRT((K94^2)+(Q94^2))</f>
        <v>#DIV/0!</v>
      </c>
    </row>
    <row r="95" spans="1:21" s="25" customFormat="1" x14ac:dyDescent="0.25"/>
    <row r="96" spans="1:21" s="25" customFormat="1" x14ac:dyDescent="0.25"/>
    <row r="97" spans="4:21" s="25" customFormat="1" x14ac:dyDescent="0.25">
      <c r="D97" s="25" t="s">
        <v>142</v>
      </c>
      <c r="G97" s="25" t="s">
        <v>189</v>
      </c>
      <c r="H97" s="25">
        <f>SQRT(H56)</f>
        <v>0</v>
      </c>
      <c r="J97" s="25" t="s">
        <v>200</v>
      </c>
      <c r="K97" s="25">
        <f>SQRT(K56)</f>
        <v>0</v>
      </c>
      <c r="M97" s="25" t="s">
        <v>200</v>
      </c>
      <c r="P97" s="25" t="s">
        <v>200</v>
      </c>
    </row>
    <row r="98" spans="4:21" s="25" customFormat="1" x14ac:dyDescent="0.25">
      <c r="D98" s="25" t="s">
        <v>143</v>
      </c>
    </row>
    <row r="99" spans="4:21" s="25" customFormat="1" x14ac:dyDescent="0.25">
      <c r="D99" s="25" t="s">
        <v>144</v>
      </c>
      <c r="G99" s="25" t="s">
        <v>175</v>
      </c>
      <c r="H99" s="25" t="e">
        <f>H57*SQRT(((H97/H56)^2)+((H71/H25)^2)+((H72/H26)^2))</f>
        <v>#DIV/0!</v>
      </c>
      <c r="J99" s="25" t="s">
        <v>197</v>
      </c>
      <c r="K99" s="25" t="e">
        <f>K57*SQRT(((K97/K56)^2)+((K71/K25)^2)+((K72/K26)^2))</f>
        <v>#DIV/0!</v>
      </c>
      <c r="M99" s="25" t="s">
        <v>197</v>
      </c>
      <c r="P99" s="25" t="s">
        <v>197</v>
      </c>
    </row>
    <row r="100" spans="4:21" s="25" customFormat="1" x14ac:dyDescent="0.25"/>
    <row r="101" spans="4:21" s="25" customFormat="1" x14ac:dyDescent="0.25"/>
    <row r="102" spans="4:21" s="25" customFormat="1" x14ac:dyDescent="0.25">
      <c r="D102" s="25" t="s">
        <v>145</v>
      </c>
      <c r="G102" s="25" t="s">
        <v>176</v>
      </c>
      <c r="H102" s="25">
        <v>0</v>
      </c>
      <c r="J102" s="25" t="s">
        <v>183</v>
      </c>
      <c r="K102" s="25">
        <f>SQRT(K62)</f>
        <v>0</v>
      </c>
      <c r="M102" s="25" t="s">
        <v>183</v>
      </c>
      <c r="P102" s="25" t="s">
        <v>183</v>
      </c>
      <c r="T102" s="25" t="s">
        <v>160</v>
      </c>
      <c r="U102" s="25" t="e">
        <f>K104</f>
        <v>#DIV/0!</v>
      </c>
    </row>
    <row r="103" spans="4:21" s="25" customFormat="1" x14ac:dyDescent="0.25">
      <c r="D103" s="25" t="s">
        <v>146</v>
      </c>
      <c r="G103" s="25" t="s">
        <v>177</v>
      </c>
    </row>
    <row r="104" spans="4:21" s="25" customFormat="1" x14ac:dyDescent="0.25">
      <c r="D104" s="25" t="s">
        <v>147</v>
      </c>
      <c r="G104" s="25" t="s">
        <v>178</v>
      </c>
      <c r="J104" s="25" t="s">
        <v>198</v>
      </c>
      <c r="K104" s="25" t="e">
        <f>K63*SQRT(((K102/K62)^2)+((K71/K25)^2)+((K72/K26)^2))</f>
        <v>#DIV/0!</v>
      </c>
      <c r="M104" s="25" t="s">
        <v>198</v>
      </c>
      <c r="P104" s="25" t="s">
        <v>198</v>
      </c>
    </row>
    <row r="105" spans="4:21" s="25" customFormat="1" x14ac:dyDescent="0.25"/>
    <row r="106" spans="4:21" s="25" customFormat="1" x14ac:dyDescent="0.25"/>
    <row r="107" spans="4:21" s="25" customFormat="1" x14ac:dyDescent="0.25">
      <c r="J107" s="25" t="s">
        <v>145</v>
      </c>
      <c r="M107" s="25" t="s">
        <v>145</v>
      </c>
      <c r="N107" s="25">
        <v>0</v>
      </c>
      <c r="P107" s="25" t="s">
        <v>145</v>
      </c>
      <c r="Q107" s="25" t="s">
        <v>159</v>
      </c>
    </row>
    <row r="108" spans="4:21" s="25" customFormat="1" x14ac:dyDescent="0.25">
      <c r="J108" s="25" t="s">
        <v>146</v>
      </c>
      <c r="M108" s="25" t="s">
        <v>146</v>
      </c>
      <c r="P108" s="25" t="s">
        <v>146</v>
      </c>
      <c r="T108" s="25" t="s">
        <v>161</v>
      </c>
    </row>
    <row r="109" spans="4:21" s="25" customFormat="1" x14ac:dyDescent="0.25">
      <c r="J109" s="25" t="s">
        <v>147</v>
      </c>
      <c r="M109" s="25" t="s">
        <v>147</v>
      </c>
      <c r="P109" s="25" t="s">
        <v>147</v>
      </c>
    </row>
    <row r="110" spans="4:21" s="25" customFormat="1" x14ac:dyDescent="0.25"/>
    <row r="111" spans="4:21" s="25" customFormat="1" x14ac:dyDescent="0.25"/>
    <row r="112" spans="4:21" s="25" customFormat="1" x14ac:dyDescent="0.25"/>
    <row r="113" s="25" customFormat="1" x14ac:dyDescent="0.25"/>
    <row r="114" s="25" customFormat="1" x14ac:dyDescent="0.25"/>
    <row r="115" s="25" customFormat="1" x14ac:dyDescent="0.25"/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C9D gamma data</vt:lpstr>
      <vt:lpstr>Sr-90 cherenkov</vt:lpstr>
      <vt:lpstr>C9HP</vt:lpstr>
      <vt:lpstr>Alpha data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2021-03-17T15:55:22Z</dcterms:created>
  <dcterms:modified xsi:type="dcterms:W3CDTF">2021-11-28T14:20:46Z</dcterms:modified>
</cp:coreProperties>
</file>